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1355" windowHeight="8445" tabRatio="800" activeTab="1"/>
  </bookViews>
  <sheets>
    <sheet name="учителя " sheetId="2" r:id="rId1"/>
    <sheet name="АДМхоз" sheetId="4" r:id="rId2"/>
    <sheet name="замена отпуск" sheetId="15" state="hidden" r:id="rId3"/>
    <sheet name="ночное" sheetId="7" state="hidden" r:id="rId4"/>
    <sheet name="праздн" sheetId="16" state="hidden" r:id="rId5"/>
    <sheet name="свод" sheetId="17" state="hidden" r:id="rId6"/>
    <sheet name="сверх" sheetId="22" state="hidden" r:id="rId7"/>
    <sheet name="Лист1" sheetId="23" state="hidden" r:id="rId8"/>
  </sheets>
  <definedNames>
    <definedName name="Z_04A8CA6F_AD9A_4D5D_9C23_0ABC34EDB569_.wvu.Cols" localSheetId="1" hidden="1">АДМхоз!#REF!</definedName>
    <definedName name="Z_04A8CA6F_AD9A_4D5D_9C23_0ABC34EDB569_.wvu.Cols" localSheetId="0" hidden="1">'учителя '!#REF!</definedName>
    <definedName name="Z_04A8CA6F_AD9A_4D5D_9C23_0ABC34EDB569_.wvu.PrintTitles" localSheetId="0" hidden="1">'учителя '!$A:$A,'учителя '!$6:$7</definedName>
    <definedName name="_xlnm.Print_Titles" localSheetId="1">АДМхоз!$A:$A,АДМхоз!$9:$10</definedName>
    <definedName name="_xlnm.Print_Titles" localSheetId="0">'учителя '!$A:$A,'учителя '!$6:$7</definedName>
    <definedName name="_xlnm.Print_Area" localSheetId="0">'учителя '!$A$1:$U$43,'учителя '!$V$1:$AT$42</definedName>
  </definedNames>
  <calcPr calcId="124519"/>
  <customWorkbookViews>
    <customWorkbookView name="321 - Личное представление" guid="{04A8CA6F-AD9A-4D5D-9C23-0ABC34EDB569}" mergeInterval="0" personalView="1" maximized="1" windowWidth="1020" windowHeight="56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5"/>
  <c r="AF98" i="4"/>
  <c r="AE98"/>
  <c r="P98"/>
  <c r="Q98"/>
  <c r="T98"/>
  <c r="V98"/>
  <c r="W98"/>
  <c r="Y98"/>
  <c r="Z98"/>
  <c r="AA98"/>
  <c r="AB98"/>
  <c r="AC98"/>
  <c r="AD98"/>
  <c r="I98"/>
  <c r="S85"/>
  <c r="U85" s="1"/>
  <c r="S86"/>
  <c r="U86" s="1"/>
  <c r="S87"/>
  <c r="U87" s="1"/>
  <c r="S88"/>
  <c r="U88" s="1"/>
  <c r="S89"/>
  <c r="U89" s="1"/>
  <c r="S90"/>
  <c r="U90" s="1"/>
  <c r="S91"/>
  <c r="U91" s="1"/>
  <c r="S92"/>
  <c r="U92" s="1"/>
  <c r="S93"/>
  <c r="U93" s="1"/>
  <c r="S94"/>
  <c r="U94" s="1"/>
  <c r="S84"/>
  <c r="U84" s="1"/>
  <c r="L84"/>
  <c r="M84" s="1"/>
  <c r="N84" s="1"/>
  <c r="L85"/>
  <c r="L86"/>
  <c r="M86" s="1"/>
  <c r="N86" s="1"/>
  <c r="L87"/>
  <c r="L88"/>
  <c r="M88" s="1"/>
  <c r="N88" s="1"/>
  <c r="L89"/>
  <c r="L90"/>
  <c r="M90" s="1"/>
  <c r="N90" s="1"/>
  <c r="L91"/>
  <c r="L92"/>
  <c r="M92" s="1"/>
  <c r="N92" s="1"/>
  <c r="L93"/>
  <c r="L94"/>
  <c r="M94" s="1"/>
  <c r="N94" s="1"/>
  <c r="AL92" l="1"/>
  <c r="AJ92" s="1"/>
  <c r="O92"/>
  <c r="AL90"/>
  <c r="AJ90" s="1"/>
  <c r="O90"/>
  <c r="AL86"/>
  <c r="AJ86" s="1"/>
  <c r="O86"/>
  <c r="AL84"/>
  <c r="AJ84" s="1"/>
  <c r="O84"/>
  <c r="AL94"/>
  <c r="AJ94" s="1"/>
  <c r="O94"/>
  <c r="AL88"/>
  <c r="AJ88" s="1"/>
  <c r="O88"/>
  <c r="M93"/>
  <c r="N93" s="1"/>
  <c r="M91"/>
  <c r="N91" s="1"/>
  <c r="M89"/>
  <c r="N89" s="1"/>
  <c r="M87"/>
  <c r="N87" s="1"/>
  <c r="M85"/>
  <c r="N85" s="1"/>
  <c r="T51" i="17"/>
  <c r="W51"/>
  <c r="X51"/>
  <c r="AB51"/>
  <c r="M29"/>
  <c r="N29"/>
  <c r="T28"/>
  <c r="W28"/>
  <c r="X28"/>
  <c r="AB28"/>
  <c r="T24"/>
  <c r="L12" i="4"/>
  <c r="L13"/>
  <c r="L14"/>
  <c r="N14" s="1"/>
  <c r="L15"/>
  <c r="L16"/>
  <c r="N16" s="1"/>
  <c r="L17"/>
  <c r="L18"/>
  <c r="N18" s="1"/>
  <c r="L19"/>
  <c r="L20"/>
  <c r="L21"/>
  <c r="L22"/>
  <c r="L23"/>
  <c r="L24"/>
  <c r="L25"/>
  <c r="L26"/>
  <c r="M26" s="1"/>
  <c r="L27"/>
  <c r="L28"/>
  <c r="N28" s="1"/>
  <c r="L29"/>
  <c r="L30"/>
  <c r="L31"/>
  <c r="L32"/>
  <c r="L33"/>
  <c r="L34"/>
  <c r="L35"/>
  <c r="L36"/>
  <c r="L37"/>
  <c r="L38"/>
  <c r="L39"/>
  <c r="L40"/>
  <c r="L41"/>
  <c r="L42"/>
  <c r="L43"/>
  <c r="N43" s="1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N83" s="1"/>
  <c r="O83" s="1"/>
  <c r="M12"/>
  <c r="M13"/>
  <c r="M20"/>
  <c r="M21"/>
  <c r="M22"/>
  <c r="M23"/>
  <c r="M24"/>
  <c r="M27"/>
  <c r="M29"/>
  <c r="M30"/>
  <c r="M31"/>
  <c r="N31" s="1"/>
  <c r="M32"/>
  <c r="M33"/>
  <c r="M34"/>
  <c r="M35"/>
  <c r="N35" s="1"/>
  <c r="M36"/>
  <c r="M37"/>
  <c r="M38"/>
  <c r="M39"/>
  <c r="N39" s="1"/>
  <c r="M40"/>
  <c r="M41"/>
  <c r="M42"/>
  <c r="N13"/>
  <c r="N15"/>
  <c r="N17"/>
  <c r="N19"/>
  <c r="N21"/>
  <c r="N23"/>
  <c r="N25"/>
  <c r="N27"/>
  <c r="N29"/>
  <c r="N33"/>
  <c r="N37"/>
  <c r="O37" s="1"/>
  <c r="N41"/>
  <c r="O41" s="1"/>
  <c r="N44"/>
  <c r="AL44" s="1"/>
  <c r="N45"/>
  <c r="N46"/>
  <c r="AL46" s="1"/>
  <c r="N47"/>
  <c r="N48"/>
  <c r="AL48" s="1"/>
  <c r="AJ48" s="1"/>
  <c r="N49"/>
  <c r="N50"/>
  <c r="AL50" s="1"/>
  <c r="N51"/>
  <c r="N52"/>
  <c r="AL52" s="1"/>
  <c r="N53"/>
  <c r="N54"/>
  <c r="AL54" s="1"/>
  <c r="N55"/>
  <c r="N56"/>
  <c r="AL56" s="1"/>
  <c r="N57"/>
  <c r="N58"/>
  <c r="AL58" s="1"/>
  <c r="N59"/>
  <c r="N60"/>
  <c r="AL60" s="1"/>
  <c r="N61"/>
  <c r="N62"/>
  <c r="AL62" s="1"/>
  <c r="N63"/>
  <c r="N64"/>
  <c r="AL64" s="1"/>
  <c r="AJ64" s="1"/>
  <c r="N65"/>
  <c r="N66"/>
  <c r="AL66" s="1"/>
  <c r="AJ66" s="1"/>
  <c r="N67"/>
  <c r="N68"/>
  <c r="AL68" s="1"/>
  <c r="AJ68" s="1"/>
  <c r="N69"/>
  <c r="O69" s="1"/>
  <c r="N70"/>
  <c r="O70" s="1"/>
  <c r="N71"/>
  <c r="N72"/>
  <c r="O72" s="1"/>
  <c r="N73"/>
  <c r="N74"/>
  <c r="O74" s="1"/>
  <c r="N75"/>
  <c r="N76"/>
  <c r="O76" s="1"/>
  <c r="N77"/>
  <c r="N78"/>
  <c r="O78" s="1"/>
  <c r="N79"/>
  <c r="N80"/>
  <c r="O80" s="1"/>
  <c r="N81"/>
  <c r="N82"/>
  <c r="O82" s="1"/>
  <c r="O13"/>
  <c r="O15"/>
  <c r="O17"/>
  <c r="O19"/>
  <c r="O21"/>
  <c r="O23"/>
  <c r="O25"/>
  <c r="O27"/>
  <c r="O29"/>
  <c r="O33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71"/>
  <c r="O73"/>
  <c r="O75"/>
  <c r="O77"/>
  <c r="O79"/>
  <c r="O81"/>
  <c r="R20"/>
  <c r="S12"/>
  <c r="U12" s="1"/>
  <c r="S13"/>
  <c r="U13" s="1"/>
  <c r="S21"/>
  <c r="S22"/>
  <c r="U22" s="1"/>
  <c r="S26"/>
  <c r="U26" s="1"/>
  <c r="S27"/>
  <c r="U27" s="1"/>
  <c r="S29"/>
  <c r="S30"/>
  <c r="U30" s="1"/>
  <c r="S31"/>
  <c r="U31" s="1"/>
  <c r="S32"/>
  <c r="U32" s="1"/>
  <c r="S33"/>
  <c r="S34"/>
  <c r="U34" s="1"/>
  <c r="S35"/>
  <c r="U35" s="1"/>
  <c r="S36"/>
  <c r="U36" s="1"/>
  <c r="S41"/>
  <c r="S42"/>
  <c r="U42" s="1"/>
  <c r="S47"/>
  <c r="U21"/>
  <c r="U29"/>
  <c r="U33"/>
  <c r="U37"/>
  <c r="U38"/>
  <c r="U39"/>
  <c r="U40"/>
  <c r="U41"/>
  <c r="U44"/>
  <c r="U45"/>
  <c r="U46"/>
  <c r="U47"/>
  <c r="X73"/>
  <c r="AG49"/>
  <c r="AG50"/>
  <c r="AG54"/>
  <c r="AI54" s="1"/>
  <c r="AG70"/>
  <c r="AG71"/>
  <c r="AG78"/>
  <c r="AI49"/>
  <c r="AI50"/>
  <c r="AI51"/>
  <c r="AI52"/>
  <c r="AI53"/>
  <c r="AI56"/>
  <c r="AI57"/>
  <c r="AI58"/>
  <c r="AI59"/>
  <c r="AI60"/>
  <c r="AI61"/>
  <c r="AI62"/>
  <c r="AI70"/>
  <c r="AI71"/>
  <c r="AI78"/>
  <c r="AL13"/>
  <c r="AL15"/>
  <c r="AJ15" s="1"/>
  <c r="AK15" s="1"/>
  <c r="AL17"/>
  <c r="AJ17" s="1"/>
  <c r="AK17" s="1"/>
  <c r="AL19"/>
  <c r="AJ19" s="1"/>
  <c r="AK19" s="1"/>
  <c r="AL21"/>
  <c r="AL23"/>
  <c r="AJ23" s="1"/>
  <c r="AK23" s="1"/>
  <c r="AL25"/>
  <c r="AJ25" s="1"/>
  <c r="AK25" s="1"/>
  <c r="AL27"/>
  <c r="AL29"/>
  <c r="AL33"/>
  <c r="AL37"/>
  <c r="AL41"/>
  <c r="AL43"/>
  <c r="AJ43" s="1"/>
  <c r="AK43" s="1"/>
  <c r="AL45"/>
  <c r="AL47"/>
  <c r="AL49"/>
  <c r="AL51"/>
  <c r="AL53"/>
  <c r="AL55"/>
  <c r="AJ55" s="1"/>
  <c r="AK55" s="1"/>
  <c r="AL57"/>
  <c r="AL59"/>
  <c r="AL61"/>
  <c r="AL63"/>
  <c r="AJ63" s="1"/>
  <c r="AK63" s="1"/>
  <c r="AL65"/>
  <c r="AJ65" s="1"/>
  <c r="AK65" s="1"/>
  <c r="AL67"/>
  <c r="AJ67" s="1"/>
  <c r="AK67" s="1"/>
  <c r="AL70"/>
  <c r="AL71"/>
  <c r="AL72"/>
  <c r="AJ72" s="1"/>
  <c r="AL73"/>
  <c r="AL74"/>
  <c r="AJ74" s="1"/>
  <c r="AL75"/>
  <c r="AJ75" s="1"/>
  <c r="AL76"/>
  <c r="AJ76" s="1"/>
  <c r="AL77"/>
  <c r="AJ77" s="1"/>
  <c r="AL78"/>
  <c r="AL79"/>
  <c r="AJ79" s="1"/>
  <c r="AL80"/>
  <c r="AJ80" s="1"/>
  <c r="AL81"/>
  <c r="AJ81" s="1"/>
  <c r="AL83"/>
  <c r="AJ83" s="1"/>
  <c r="AK83" s="1"/>
  <c r="T15" i="17"/>
  <c r="W15"/>
  <c r="AG12" i="2"/>
  <c r="G26"/>
  <c r="H26" s="1"/>
  <c r="I26" s="1"/>
  <c r="M26"/>
  <c r="N26"/>
  <c r="O26"/>
  <c r="P26"/>
  <c r="AD26"/>
  <c r="AJ26"/>
  <c r="G19"/>
  <c r="H19" s="1"/>
  <c r="M19"/>
  <c r="N19"/>
  <c r="O19"/>
  <c r="P19"/>
  <c r="X19"/>
  <c r="AD19"/>
  <c r="AJ19"/>
  <c r="U95" i="4"/>
  <c r="M19" i="17"/>
  <c r="T18"/>
  <c r="W18"/>
  <c r="X18"/>
  <c r="AB18"/>
  <c r="C19"/>
  <c r="AN33" i="2"/>
  <c r="AO33"/>
  <c r="J14" i="7"/>
  <c r="J8"/>
  <c r="J9"/>
  <c r="J10"/>
  <c r="J11"/>
  <c r="J12"/>
  <c r="J13"/>
  <c r="J15"/>
  <c r="J7"/>
  <c r="J16"/>
  <c r="AA9" i="2"/>
  <c r="Z19" i="17"/>
  <c r="AA19"/>
  <c r="Z26"/>
  <c r="AA26"/>
  <c r="U40"/>
  <c r="S40"/>
  <c r="R40"/>
  <c r="Q40"/>
  <c r="P40"/>
  <c r="O40"/>
  <c r="L40"/>
  <c r="K40"/>
  <c r="J40"/>
  <c r="I40"/>
  <c r="H40"/>
  <c r="G40"/>
  <c r="F40"/>
  <c r="E40"/>
  <c r="D40"/>
  <c r="C40"/>
  <c r="T39"/>
  <c r="W39"/>
  <c r="Y39"/>
  <c r="T38"/>
  <c r="G26"/>
  <c r="H26"/>
  <c r="I26"/>
  <c r="J26"/>
  <c r="K26"/>
  <c r="L26"/>
  <c r="O26"/>
  <c r="P26"/>
  <c r="Q26"/>
  <c r="R26"/>
  <c r="S26"/>
  <c r="U26"/>
  <c r="Y26"/>
  <c r="F26"/>
  <c r="E26"/>
  <c r="D26"/>
  <c r="T22"/>
  <c r="T23"/>
  <c r="T25"/>
  <c r="T21"/>
  <c r="G14" i="2"/>
  <c r="M14"/>
  <c r="N14"/>
  <c r="O14"/>
  <c r="Q14" s="1"/>
  <c r="AK14" s="1"/>
  <c r="AM14" s="1"/>
  <c r="P14"/>
  <c r="AD14"/>
  <c r="AG14"/>
  <c r="AJ14"/>
  <c r="Z27" i="17"/>
  <c r="Z29"/>
  <c r="AA27"/>
  <c r="AA29"/>
  <c r="X39"/>
  <c r="T40"/>
  <c r="W38"/>
  <c r="V39"/>
  <c r="H14" i="2"/>
  <c r="V38" i="17"/>
  <c r="V40"/>
  <c r="Y38"/>
  <c r="Y40"/>
  <c r="X38"/>
  <c r="W40"/>
  <c r="X40"/>
  <c r="C26"/>
  <c r="W25"/>
  <c r="X25"/>
  <c r="AB25"/>
  <c r="W24"/>
  <c r="X24"/>
  <c r="AB24"/>
  <c r="W22"/>
  <c r="W21"/>
  <c r="X21"/>
  <c r="AB21"/>
  <c r="T20"/>
  <c r="Y19"/>
  <c r="Y27"/>
  <c r="Y29"/>
  <c r="U19"/>
  <c r="U27"/>
  <c r="U29"/>
  <c r="S19"/>
  <c r="R19"/>
  <c r="Q19"/>
  <c r="P19"/>
  <c r="O19"/>
  <c r="L19"/>
  <c r="K19"/>
  <c r="J19"/>
  <c r="I19"/>
  <c r="H19"/>
  <c r="G19"/>
  <c r="F19"/>
  <c r="F27"/>
  <c r="F29"/>
  <c r="E19"/>
  <c r="D19"/>
  <c r="T17"/>
  <c r="W17"/>
  <c r="X17"/>
  <c r="AB17"/>
  <c r="T16"/>
  <c r="W16"/>
  <c r="X16"/>
  <c r="AB16"/>
  <c r="X15"/>
  <c r="AB15"/>
  <c r="AG20" i="2"/>
  <c r="AB19" i="17"/>
  <c r="V22"/>
  <c r="X22"/>
  <c r="AB22"/>
  <c r="W20"/>
  <c r="T26"/>
  <c r="C27"/>
  <c r="S27"/>
  <c r="S29"/>
  <c r="Q27"/>
  <c r="Q29"/>
  <c r="K27"/>
  <c r="K29"/>
  <c r="E27"/>
  <c r="E29"/>
  <c r="I27"/>
  <c r="I29"/>
  <c r="O27"/>
  <c r="O29"/>
  <c r="G27"/>
  <c r="G29"/>
  <c r="J27"/>
  <c r="J29"/>
  <c r="P27"/>
  <c r="P29"/>
  <c r="W23"/>
  <c r="X23"/>
  <c r="AB23"/>
  <c r="D27"/>
  <c r="H27"/>
  <c r="H29"/>
  <c r="L27"/>
  <c r="L29"/>
  <c r="R27"/>
  <c r="R29"/>
  <c r="V16"/>
  <c r="W19"/>
  <c r="V15"/>
  <c r="T19"/>
  <c r="G16" i="16"/>
  <c r="J16"/>
  <c r="F9" i="15"/>
  <c r="X20" i="17"/>
  <c r="W26"/>
  <c r="T27"/>
  <c r="T29"/>
  <c r="V19"/>
  <c r="V23"/>
  <c r="V26"/>
  <c r="X19"/>
  <c r="G32" i="2"/>
  <c r="H32" s="1"/>
  <c r="I32" s="1"/>
  <c r="M32"/>
  <c r="N32"/>
  <c r="O32"/>
  <c r="P32"/>
  <c r="AA32"/>
  <c r="AD32"/>
  <c r="AJ32"/>
  <c r="AB20" i="17"/>
  <c r="AB26"/>
  <c r="AB27"/>
  <c r="AB29"/>
  <c r="W27"/>
  <c r="W29"/>
  <c r="X26"/>
  <c r="X27"/>
  <c r="X29"/>
  <c r="V27"/>
  <c r="V29"/>
  <c r="AJ22" i="2"/>
  <c r="AD22"/>
  <c r="AA22"/>
  <c r="P22"/>
  <c r="O22"/>
  <c r="N22"/>
  <c r="M22"/>
  <c r="G22"/>
  <c r="H22" s="1"/>
  <c r="I22" s="1"/>
  <c r="AA10"/>
  <c r="AA31"/>
  <c r="AA25"/>
  <c r="AA15"/>
  <c r="AA28"/>
  <c r="G18" i="16"/>
  <c r="J18"/>
  <c r="F15" i="15"/>
  <c r="F13"/>
  <c r="F14"/>
  <c r="F16"/>
  <c r="F17"/>
  <c r="I27" i="22"/>
  <c r="G19" i="16"/>
  <c r="J19"/>
  <c r="G20"/>
  <c r="J20"/>
  <c r="G21"/>
  <c r="J21"/>
  <c r="G22"/>
  <c r="J22"/>
  <c r="H57" i="22"/>
  <c r="K57"/>
  <c r="L57"/>
  <c r="H56"/>
  <c r="K56"/>
  <c r="L56"/>
  <c r="L58"/>
  <c r="I58"/>
  <c r="K58"/>
  <c r="H26"/>
  <c r="K26"/>
  <c r="L26"/>
  <c r="F19" i="15"/>
  <c r="F18"/>
  <c r="F12"/>
  <c r="F11"/>
  <c r="F10"/>
  <c r="F20"/>
  <c r="G12" i="2"/>
  <c r="H12" s="1"/>
  <c r="I12" s="1"/>
  <c r="M12"/>
  <c r="N12"/>
  <c r="O12"/>
  <c r="P12"/>
  <c r="AD12"/>
  <c r="AJ12"/>
  <c r="H25" i="22"/>
  <c r="K25"/>
  <c r="L25"/>
  <c r="G14" i="16"/>
  <c r="J14"/>
  <c r="H15"/>
  <c r="G13"/>
  <c r="J13"/>
  <c r="L27" i="22"/>
  <c r="K27"/>
  <c r="AJ15" i="2"/>
  <c r="AJ11"/>
  <c r="AJ27"/>
  <c r="AJ31"/>
  <c r="AJ13"/>
  <c r="AJ17"/>
  <c r="AJ18"/>
  <c r="AJ20"/>
  <c r="AJ21"/>
  <c r="AJ23"/>
  <c r="AJ24"/>
  <c r="AJ25"/>
  <c r="K33"/>
  <c r="L33"/>
  <c r="V33"/>
  <c r="Y33"/>
  <c r="AB33"/>
  <c r="AC33"/>
  <c r="AE33"/>
  <c r="AH33"/>
  <c r="AI33"/>
  <c r="AQ33"/>
  <c r="AR33"/>
  <c r="J33"/>
  <c r="G18"/>
  <c r="H18" s="1"/>
  <c r="I18" s="1"/>
  <c r="M18"/>
  <c r="N18"/>
  <c r="O18"/>
  <c r="P18"/>
  <c r="AD18"/>
  <c r="AG18"/>
  <c r="AJ10"/>
  <c r="AJ28"/>
  <c r="AJ16"/>
  <c r="AJ29"/>
  <c r="AJ30"/>
  <c r="AG10"/>
  <c r="AG28"/>
  <c r="AG31"/>
  <c r="AG13"/>
  <c r="AG16"/>
  <c r="AG29"/>
  <c r="AG21"/>
  <c r="AG23"/>
  <c r="AG25"/>
  <c r="AG30"/>
  <c r="X28"/>
  <c r="X31"/>
  <c r="X13"/>
  <c r="O10"/>
  <c r="O28"/>
  <c r="O31"/>
  <c r="O15"/>
  <c r="O13"/>
  <c r="O16"/>
  <c r="O29"/>
  <c r="O11"/>
  <c r="O17"/>
  <c r="O20"/>
  <c r="O21"/>
  <c r="O23"/>
  <c r="O24"/>
  <c r="O25"/>
  <c r="O30"/>
  <c r="O27"/>
  <c r="N10"/>
  <c r="N28"/>
  <c r="N31"/>
  <c r="N15"/>
  <c r="N13"/>
  <c r="N16"/>
  <c r="N29"/>
  <c r="N11"/>
  <c r="N17"/>
  <c r="N20"/>
  <c r="N21"/>
  <c r="N23"/>
  <c r="N24"/>
  <c r="N25"/>
  <c r="N30"/>
  <c r="N27"/>
  <c r="G24"/>
  <c r="H24" s="1"/>
  <c r="I24" s="1"/>
  <c r="M24"/>
  <c r="P24"/>
  <c r="AD24"/>
  <c r="U97" i="4"/>
  <c r="L97"/>
  <c r="M97" s="1"/>
  <c r="N97" s="1"/>
  <c r="L96"/>
  <c r="N96" s="1"/>
  <c r="L95"/>
  <c r="M95" s="1"/>
  <c r="O9" i="2"/>
  <c r="P10"/>
  <c r="P28"/>
  <c r="P31"/>
  <c r="Q31" s="1"/>
  <c r="AK31" s="1"/>
  <c r="AM31" s="1"/>
  <c r="P15"/>
  <c r="P13"/>
  <c r="Q13" s="1"/>
  <c r="AK13" s="1"/>
  <c r="AM13" s="1"/>
  <c r="P16"/>
  <c r="P29"/>
  <c r="Q29" s="1"/>
  <c r="AK29" s="1"/>
  <c r="AM29" s="1"/>
  <c r="P11"/>
  <c r="P17"/>
  <c r="Q17" s="1"/>
  <c r="AK17" s="1"/>
  <c r="AM17" s="1"/>
  <c r="P20"/>
  <c r="P21"/>
  <c r="Q21" s="1"/>
  <c r="AK21" s="1"/>
  <c r="AM21" s="1"/>
  <c r="P23"/>
  <c r="P25"/>
  <c r="P30"/>
  <c r="P27"/>
  <c r="J36" i="16"/>
  <c r="L36"/>
  <c r="J48"/>
  <c r="J47"/>
  <c r="J46"/>
  <c r="J45"/>
  <c r="J44"/>
  <c r="J43"/>
  <c r="J42"/>
  <c r="J41"/>
  <c r="J40"/>
  <c r="J39"/>
  <c r="J38"/>
  <c r="J37"/>
  <c r="H37"/>
  <c r="H48"/>
  <c r="H46"/>
  <c r="H47"/>
  <c r="K45"/>
  <c r="K44"/>
  <c r="K43"/>
  <c r="H44"/>
  <c r="H45"/>
  <c r="H43"/>
  <c r="K42"/>
  <c r="H42"/>
  <c r="K41"/>
  <c r="H41"/>
  <c r="K40"/>
  <c r="H40"/>
  <c r="K39"/>
  <c r="H39"/>
  <c r="K38"/>
  <c r="H38"/>
  <c r="F44" i="7"/>
  <c r="F43"/>
  <c r="F42"/>
  <c r="F41"/>
  <c r="F40"/>
  <c r="F39"/>
  <c r="F38"/>
  <c r="F37"/>
  <c r="F36"/>
  <c r="I42"/>
  <c r="I44"/>
  <c r="I41"/>
  <c r="I40"/>
  <c r="I39"/>
  <c r="I38"/>
  <c r="I37"/>
  <c r="I36"/>
  <c r="J43"/>
  <c r="J44"/>
  <c r="J42"/>
  <c r="J41"/>
  <c r="J40"/>
  <c r="J39"/>
  <c r="J38"/>
  <c r="J37"/>
  <c r="J36"/>
  <c r="J45"/>
  <c r="Q16" i="2"/>
  <c r="AK16" s="1"/>
  <c r="AM16" s="1"/>
  <c r="L37" i="16"/>
  <c r="L38"/>
  <c r="L39"/>
  <c r="L40"/>
  <c r="L41"/>
  <c r="L42"/>
  <c r="L43"/>
  <c r="L44"/>
  <c r="L45"/>
  <c r="L46"/>
  <c r="L47"/>
  <c r="L48"/>
  <c r="L49"/>
  <c r="G10" i="2"/>
  <c r="G28"/>
  <c r="H28" s="1"/>
  <c r="I28" s="1"/>
  <c r="G31"/>
  <c r="G15"/>
  <c r="G13"/>
  <c r="G16"/>
  <c r="G29"/>
  <c r="G11"/>
  <c r="H11" s="1"/>
  <c r="I11" s="1"/>
  <c r="G17"/>
  <c r="G20"/>
  <c r="H20" s="1"/>
  <c r="I20" s="1"/>
  <c r="G21"/>
  <c r="G23"/>
  <c r="G25"/>
  <c r="G30"/>
  <c r="G27"/>
  <c r="H27"/>
  <c r="H30"/>
  <c r="I30" s="1"/>
  <c r="H25"/>
  <c r="H23"/>
  <c r="I23" s="1"/>
  <c r="H21"/>
  <c r="H17"/>
  <c r="I17" s="1"/>
  <c r="H29"/>
  <c r="I29" s="1"/>
  <c r="H13"/>
  <c r="I13" s="1"/>
  <c r="H31"/>
  <c r="I31" s="1"/>
  <c r="H10"/>
  <c r="I10" s="1"/>
  <c r="AG9"/>
  <c r="G9"/>
  <c r="H9" s="1"/>
  <c r="I9" s="1"/>
  <c r="H23" i="16"/>
  <c r="H17"/>
  <c r="J17"/>
  <c r="M27" i="2"/>
  <c r="AD27"/>
  <c r="M10"/>
  <c r="M28"/>
  <c r="M31"/>
  <c r="M15"/>
  <c r="M13"/>
  <c r="M16"/>
  <c r="M29"/>
  <c r="M11"/>
  <c r="M17"/>
  <c r="M20"/>
  <c r="M21"/>
  <c r="M23"/>
  <c r="M25"/>
  <c r="M30"/>
  <c r="M9"/>
  <c r="AJ9"/>
  <c r="AJ33" s="1"/>
  <c r="AD28"/>
  <c r="AD16"/>
  <c r="AD13"/>
  <c r="AD11"/>
  <c r="AD17"/>
  <c r="AD31"/>
  <c r="AD9"/>
  <c r="AD20"/>
  <c r="AD21"/>
  <c r="AD23"/>
  <c r="AD25"/>
  <c r="AD15"/>
  <c r="AD29"/>
  <c r="AD10"/>
  <c r="AD30"/>
  <c r="N9"/>
  <c r="N33" s="1"/>
  <c r="P9"/>
  <c r="J23" i="16"/>
  <c r="Q10" i="2"/>
  <c r="AK10" s="1"/>
  <c r="Q15"/>
  <c r="AK15" s="1"/>
  <c r="AM15" s="1"/>
  <c r="Q23"/>
  <c r="AK23" s="1"/>
  <c r="AM23" s="1"/>
  <c r="Q20"/>
  <c r="AK20" s="1"/>
  <c r="AM20" s="1"/>
  <c r="Q11"/>
  <c r="AK11" s="1"/>
  <c r="AM11" s="1"/>
  <c r="Q27"/>
  <c r="AK27" s="1"/>
  <c r="AM27" s="1"/>
  <c r="J15" i="16"/>
  <c r="J24"/>
  <c r="AV33" i="2"/>
  <c r="O39" i="4" l="1"/>
  <c r="AL39"/>
  <c r="O35"/>
  <c r="AL35"/>
  <c r="O31"/>
  <c r="AL31"/>
  <c r="N42"/>
  <c r="N40"/>
  <c r="N38"/>
  <c r="N36"/>
  <c r="N34"/>
  <c r="N32"/>
  <c r="N30"/>
  <c r="N24"/>
  <c r="N22"/>
  <c r="N20"/>
  <c r="N12"/>
  <c r="AK68"/>
  <c r="AK66"/>
  <c r="AK64"/>
  <c r="AK48"/>
  <c r="AL42"/>
  <c r="AJ42" s="1"/>
  <c r="AK42" s="1"/>
  <c r="O42"/>
  <c r="AL40"/>
  <c r="O40"/>
  <c r="AL38"/>
  <c r="AJ38" s="1"/>
  <c r="AK38" s="1"/>
  <c r="O38"/>
  <c r="O36"/>
  <c r="AL36"/>
  <c r="O34"/>
  <c r="AL34"/>
  <c r="O32"/>
  <c r="AL32"/>
  <c r="O30"/>
  <c r="AL30"/>
  <c r="O28"/>
  <c r="AL28"/>
  <c r="AJ28" s="1"/>
  <c r="O24"/>
  <c r="AK24" s="1"/>
  <c r="AL24"/>
  <c r="AJ24" s="1"/>
  <c r="O22"/>
  <c r="AL22"/>
  <c r="O20"/>
  <c r="AL20"/>
  <c r="O18"/>
  <c r="AL18"/>
  <c r="AJ18" s="1"/>
  <c r="O16"/>
  <c r="AL16"/>
  <c r="AJ16" s="1"/>
  <c r="O14"/>
  <c r="AL14"/>
  <c r="AJ14" s="1"/>
  <c r="O12"/>
  <c r="AL12"/>
  <c r="AK80"/>
  <c r="AK76"/>
  <c r="AK74"/>
  <c r="AK72"/>
  <c r="N95"/>
  <c r="O95" s="1"/>
  <c r="AK81"/>
  <c r="AK79"/>
  <c r="AK77"/>
  <c r="N26"/>
  <c r="AL96"/>
  <c r="AJ96" s="1"/>
  <c r="O96"/>
  <c r="AL95"/>
  <c r="AL69"/>
  <c r="AJ69" s="1"/>
  <c r="AK69" s="1"/>
  <c r="AK28"/>
  <c r="AK18"/>
  <c r="AK14"/>
  <c r="AL97"/>
  <c r="O97"/>
  <c r="X98"/>
  <c r="AJ73"/>
  <c r="AK73" s="1"/>
  <c r="R98"/>
  <c r="AJ20"/>
  <c r="AK20" s="1"/>
  <c r="AJ97"/>
  <c r="AJ78"/>
  <c r="AK78" s="1"/>
  <c r="AJ70"/>
  <c r="AK70" s="1"/>
  <c r="AJ61"/>
  <c r="AK61" s="1"/>
  <c r="AJ59"/>
  <c r="AK59" s="1"/>
  <c r="AJ57"/>
  <c r="AK57" s="1"/>
  <c r="AJ54"/>
  <c r="AK54" s="1"/>
  <c r="AJ52"/>
  <c r="AK52" s="1"/>
  <c r="AJ50"/>
  <c r="AK50" s="1"/>
  <c r="AJ46"/>
  <c r="AK46" s="1"/>
  <c r="AJ44"/>
  <c r="AK44" s="1"/>
  <c r="AJ41"/>
  <c r="AK41" s="1"/>
  <c r="AJ39"/>
  <c r="AK39" s="1"/>
  <c r="AJ37"/>
  <c r="AK37" s="1"/>
  <c r="AJ35"/>
  <c r="AK35" s="1"/>
  <c r="AJ33"/>
  <c r="AK33" s="1"/>
  <c r="AJ31"/>
  <c r="AK31" s="1"/>
  <c r="AJ29"/>
  <c r="AK29" s="1"/>
  <c r="AJ21"/>
  <c r="AK21" s="1"/>
  <c r="AJ12"/>
  <c r="AK88"/>
  <c r="AK94"/>
  <c r="AK84"/>
  <c r="AK86"/>
  <c r="AK90"/>
  <c r="AK92"/>
  <c r="AJ95"/>
  <c r="AJ71"/>
  <c r="AK71" s="1"/>
  <c r="AJ62"/>
  <c r="AK62" s="1"/>
  <c r="AJ60"/>
  <c r="AK60" s="1"/>
  <c r="AJ58"/>
  <c r="AK58" s="1"/>
  <c r="AJ56"/>
  <c r="AK56" s="1"/>
  <c r="AJ53"/>
  <c r="AK53" s="1"/>
  <c r="AJ51"/>
  <c r="AK51" s="1"/>
  <c r="AJ49"/>
  <c r="AK49" s="1"/>
  <c r="AJ47"/>
  <c r="AK47" s="1"/>
  <c r="AJ45"/>
  <c r="AK45" s="1"/>
  <c r="AJ40"/>
  <c r="AK40" s="1"/>
  <c r="AJ36"/>
  <c r="AK36" s="1"/>
  <c r="AJ34"/>
  <c r="AJ32"/>
  <c r="AK32" s="1"/>
  <c r="AJ30"/>
  <c r="AJ27"/>
  <c r="AK27" s="1"/>
  <c r="AJ22"/>
  <c r="AJ13"/>
  <c r="AK13" s="1"/>
  <c r="AI98"/>
  <c r="AG98"/>
  <c r="S98"/>
  <c r="N98"/>
  <c r="M98"/>
  <c r="L98"/>
  <c r="U98"/>
  <c r="AL82"/>
  <c r="AK75"/>
  <c r="O85"/>
  <c r="AL85"/>
  <c r="AJ85" s="1"/>
  <c r="O89"/>
  <c r="AL89"/>
  <c r="AJ89" s="1"/>
  <c r="O93"/>
  <c r="AL93"/>
  <c r="AJ93" s="1"/>
  <c r="O87"/>
  <c r="AL87"/>
  <c r="AJ87" s="1"/>
  <c r="O91"/>
  <c r="AL91"/>
  <c r="AJ91" s="1"/>
  <c r="Q12" i="2"/>
  <c r="AK12" s="1"/>
  <c r="AM12" s="1"/>
  <c r="X33"/>
  <c r="Q30"/>
  <c r="AK30" s="1"/>
  <c r="AM30" s="1"/>
  <c r="P33"/>
  <c r="AG33"/>
  <c r="AA33"/>
  <c r="Q22"/>
  <c r="AK22" s="1"/>
  <c r="AM22" s="1"/>
  <c r="Q19"/>
  <c r="AK19" s="1"/>
  <c r="AM19" s="1"/>
  <c r="AD33"/>
  <c r="T22"/>
  <c r="R22"/>
  <c r="Q18"/>
  <c r="AK18" s="1"/>
  <c r="AM18" s="1"/>
  <c r="Q26"/>
  <c r="AK26" s="1"/>
  <c r="AM26" s="1"/>
  <c r="Q9"/>
  <c r="AK9" s="1"/>
  <c r="AM9" s="1"/>
  <c r="M33"/>
  <c r="H15"/>
  <c r="I15" s="1"/>
  <c r="H16"/>
  <c r="I16" s="1"/>
  <c r="I27"/>
  <c r="I25"/>
  <c r="S25" s="1"/>
  <c r="I21"/>
  <c r="Q25"/>
  <c r="AK25" s="1"/>
  <c r="AM25" s="1"/>
  <c r="Q28"/>
  <c r="AK28" s="1"/>
  <c r="AM28" s="1"/>
  <c r="Q32"/>
  <c r="AK32" s="1"/>
  <c r="AM32" s="1"/>
  <c r="I14"/>
  <c r="R31"/>
  <c r="T31"/>
  <c r="S31"/>
  <c r="S13"/>
  <c r="T13"/>
  <c r="R13"/>
  <c r="S23"/>
  <c r="R23"/>
  <c r="T23"/>
  <c r="S30"/>
  <c r="R30"/>
  <c r="T30"/>
  <c r="S20"/>
  <c r="R20"/>
  <c r="T20"/>
  <c r="S12"/>
  <c r="T12"/>
  <c r="R12"/>
  <c r="S27"/>
  <c r="T27"/>
  <c r="R27"/>
  <c r="T25"/>
  <c r="S21"/>
  <c r="T21"/>
  <c r="R21"/>
  <c r="T14"/>
  <c r="R14"/>
  <c r="S14"/>
  <c r="G33"/>
  <c r="O33"/>
  <c r="Q24"/>
  <c r="S22"/>
  <c r="U22" s="1"/>
  <c r="AM10"/>
  <c r="S9"/>
  <c r="R9"/>
  <c r="T9"/>
  <c r="S28"/>
  <c r="R28"/>
  <c r="T28"/>
  <c r="S11"/>
  <c r="T11"/>
  <c r="R11"/>
  <c r="R24"/>
  <c r="S24"/>
  <c r="T24"/>
  <c r="R18"/>
  <c r="T18"/>
  <c r="S18"/>
  <c r="S26"/>
  <c r="T26"/>
  <c r="R26"/>
  <c r="R10"/>
  <c r="T10"/>
  <c r="S10"/>
  <c r="S29"/>
  <c r="R29"/>
  <c r="T29"/>
  <c r="S17"/>
  <c r="R17"/>
  <c r="T17"/>
  <c r="AK24"/>
  <c r="AM24" s="1"/>
  <c r="T32"/>
  <c r="R32"/>
  <c r="S32"/>
  <c r="I19"/>
  <c r="AK12" i="4" l="1"/>
  <c r="AK16"/>
  <c r="O26"/>
  <c r="O98" s="1"/>
  <c r="AL26"/>
  <c r="AJ26" s="1"/>
  <c r="AK93"/>
  <c r="AK89"/>
  <c r="AK85"/>
  <c r="AK22"/>
  <c r="AK30"/>
  <c r="AK34"/>
  <c r="AK95"/>
  <c r="AK96"/>
  <c r="AL98"/>
  <c r="AJ82"/>
  <c r="AK82" s="1"/>
  <c r="AK91"/>
  <c r="AK87"/>
  <c r="AK97"/>
  <c r="AJ98"/>
  <c r="AP22" i="2"/>
  <c r="AU22"/>
  <c r="U32"/>
  <c r="AU32" s="1"/>
  <c r="H33"/>
  <c r="Q33"/>
  <c r="R25"/>
  <c r="S15"/>
  <c r="T15"/>
  <c r="R15"/>
  <c r="R16"/>
  <c r="S16"/>
  <c r="T16"/>
  <c r="U29"/>
  <c r="AU29" s="1"/>
  <c r="U21"/>
  <c r="AU21" s="1"/>
  <c r="U27"/>
  <c r="AU27" s="1"/>
  <c r="U12"/>
  <c r="U20"/>
  <c r="U23"/>
  <c r="AU23" s="1"/>
  <c r="U13"/>
  <c r="AS22"/>
  <c r="AT22" s="1"/>
  <c r="U11"/>
  <c r="U28"/>
  <c r="U14"/>
  <c r="U25"/>
  <c r="U30"/>
  <c r="U31"/>
  <c r="T19"/>
  <c r="R19"/>
  <c r="S19"/>
  <c r="U17"/>
  <c r="AM33"/>
  <c r="U26"/>
  <c r="U24"/>
  <c r="AU24" s="1"/>
  <c r="T33"/>
  <c r="S33"/>
  <c r="U9"/>
  <c r="U10"/>
  <c r="AU10" s="1"/>
  <c r="U18"/>
  <c r="I33"/>
  <c r="AK33"/>
  <c r="AK26" i="4" l="1"/>
  <c r="AK98" s="1"/>
  <c r="AP30" i="2"/>
  <c r="AU30"/>
  <c r="AP14"/>
  <c r="AU14"/>
  <c r="AP11"/>
  <c r="AU11"/>
  <c r="AP13"/>
  <c r="AU13"/>
  <c r="AP20"/>
  <c r="AU20"/>
  <c r="AP18"/>
  <c r="AU18"/>
  <c r="AP9"/>
  <c r="AU9"/>
  <c r="AP26"/>
  <c r="AU26"/>
  <c r="AP17"/>
  <c r="AU17"/>
  <c r="AP31"/>
  <c r="AU31"/>
  <c r="AP25"/>
  <c r="AU25"/>
  <c r="AP28"/>
  <c r="AU28"/>
  <c r="AP12"/>
  <c r="AU12"/>
  <c r="AP24"/>
  <c r="AS24" s="1"/>
  <c r="AP23"/>
  <c r="AS23" s="1"/>
  <c r="AT23" s="1"/>
  <c r="AP21"/>
  <c r="AS21" s="1"/>
  <c r="AT21" s="1"/>
  <c r="AP32"/>
  <c r="AS32" s="1"/>
  <c r="AT32" s="1"/>
  <c r="AP10"/>
  <c r="AS10" s="1"/>
  <c r="AP27"/>
  <c r="AS27" s="1"/>
  <c r="AT27" s="1"/>
  <c r="AP29"/>
  <c r="AS29" s="1"/>
  <c r="AT29" s="1"/>
  <c r="U15"/>
  <c r="AS13"/>
  <c r="AT13" s="1"/>
  <c r="AS20"/>
  <c r="AT20" s="1"/>
  <c r="AS12"/>
  <c r="AT12" s="1"/>
  <c r="U19"/>
  <c r="AU19" s="1"/>
  <c r="U16"/>
  <c r="AS31"/>
  <c r="AT31" s="1"/>
  <c r="AS14"/>
  <c r="AT14" s="1"/>
  <c r="AS11"/>
  <c r="AT11" s="1"/>
  <c r="AS30"/>
  <c r="AT30" s="1"/>
  <c r="AS25"/>
  <c r="AT25" s="1"/>
  <c r="AS28"/>
  <c r="AT28" s="1"/>
  <c r="AT24"/>
  <c r="R33"/>
  <c r="AS18"/>
  <c r="AT18" s="1"/>
  <c r="AS9"/>
  <c r="U33"/>
  <c r="AS26"/>
  <c r="AT26" s="1"/>
  <c r="AS17"/>
  <c r="AT17" s="1"/>
  <c r="AT10"/>
  <c r="AP16" l="1"/>
  <c r="AU16"/>
  <c r="AP15"/>
  <c r="AU15"/>
  <c r="AU33"/>
  <c r="AT9"/>
  <c r="AS15"/>
  <c r="AT15" s="1"/>
  <c r="AP19"/>
  <c r="AS19" s="1"/>
  <c r="AT19" s="1"/>
  <c r="AP33" l="1"/>
  <c r="AS16"/>
  <c r="AT16" s="1"/>
  <c r="AT33" s="1"/>
  <c r="AS33" l="1"/>
</calcChain>
</file>

<file path=xl/sharedStrings.xml><?xml version="1.0" encoding="utf-8"?>
<sst xmlns="http://schemas.openxmlformats.org/spreadsheetml/2006/main" count="975" uniqueCount="358">
  <si>
    <t xml:space="preserve">№ </t>
  </si>
  <si>
    <t>№ диплома, дата выдачи</t>
  </si>
  <si>
    <t>БДО</t>
  </si>
  <si>
    <t>Оклад</t>
  </si>
  <si>
    <t>1-4 классы</t>
  </si>
  <si>
    <t>5-9 классы</t>
  </si>
  <si>
    <t>10-11 классы</t>
  </si>
  <si>
    <t>часы</t>
  </si>
  <si>
    <t>%</t>
  </si>
  <si>
    <t>Сумма</t>
  </si>
  <si>
    <t>25% сельских</t>
  </si>
  <si>
    <t>Оклад с учеом сельских</t>
  </si>
  <si>
    <t>сумма</t>
  </si>
  <si>
    <t>За совмещение должностей (расширение зоны обслуживания)</t>
  </si>
  <si>
    <t xml:space="preserve">За особые условия труда </t>
  </si>
  <si>
    <t>Категория по аттестации</t>
  </si>
  <si>
    <t>Итого заработной платы по учебной нагрузке</t>
  </si>
  <si>
    <t>Итого ставок по нагрузке</t>
  </si>
  <si>
    <t>Итого нагрузки в часах</t>
  </si>
  <si>
    <t>ВСЕГО заработная плата в месяц</t>
  </si>
  <si>
    <t>Х</t>
  </si>
  <si>
    <t>первая</t>
  </si>
  <si>
    <t>За заведование учебными кабинетами (лабораториями, мастерскими)</t>
  </si>
  <si>
    <t>За классное руководство (руководство группой)</t>
  </si>
  <si>
    <t xml:space="preserve">Коэффициент </t>
  </si>
  <si>
    <t>(подпись)</t>
  </si>
  <si>
    <t>(расшифровка подписи)</t>
  </si>
  <si>
    <t xml:space="preserve">Итого заработной платы </t>
  </si>
  <si>
    <t>кол-во ставок</t>
  </si>
  <si>
    <t xml:space="preserve">За класную квалификацию </t>
  </si>
  <si>
    <t>За работу на тяжелых физич работах и работах с вредными и опасными условиями труда</t>
  </si>
  <si>
    <t>За работу в ночное время</t>
  </si>
  <si>
    <t xml:space="preserve">За сверхурочную работу </t>
  </si>
  <si>
    <t>За проверку тетрадей и письменных работ в 5-11 (12) классах</t>
  </si>
  <si>
    <t>За проверку тетрадей и письменных работ в 1-4 классах</t>
  </si>
  <si>
    <t>Должность</t>
  </si>
  <si>
    <t>Директор</t>
  </si>
  <si>
    <t>Итого</t>
  </si>
  <si>
    <t>17</t>
  </si>
  <si>
    <t>кол</t>
  </si>
  <si>
    <t xml:space="preserve">Образование </t>
  </si>
  <si>
    <t>Стаж (годы, месяцы, дни)</t>
  </si>
  <si>
    <t>Доплаты и надбавки</t>
  </si>
  <si>
    <t>тарифная часть</t>
  </si>
  <si>
    <t>высшее</t>
  </si>
  <si>
    <t>воспитатель</t>
  </si>
  <si>
    <t>***</t>
  </si>
  <si>
    <t>ср.спец</t>
  </si>
  <si>
    <t>без кат</t>
  </si>
  <si>
    <t xml:space="preserve">вторая </t>
  </si>
  <si>
    <t>среднее</t>
  </si>
  <si>
    <t>Врач педиатр</t>
  </si>
  <si>
    <t xml:space="preserve">медицинская сестра </t>
  </si>
  <si>
    <t xml:space="preserve">первая </t>
  </si>
  <si>
    <t xml:space="preserve">Педагог психолог </t>
  </si>
  <si>
    <t>Социальный педагог</t>
  </si>
  <si>
    <t xml:space="preserve">переводчик </t>
  </si>
  <si>
    <t xml:space="preserve">помошник воспитателя </t>
  </si>
  <si>
    <t xml:space="preserve">Кочегары </t>
  </si>
  <si>
    <t>Сторож</t>
  </si>
  <si>
    <t>Водитель</t>
  </si>
  <si>
    <t xml:space="preserve">уборщик служебных помещений </t>
  </si>
  <si>
    <t>повар</t>
  </si>
  <si>
    <t xml:space="preserve">кладовщик </t>
  </si>
  <si>
    <t xml:space="preserve">Дворник </t>
  </si>
  <si>
    <t>кочегар</t>
  </si>
  <si>
    <t>медицинская сестра по физиотерапии</t>
  </si>
  <si>
    <t xml:space="preserve">Заместитель директора по хозяйственной работе </t>
  </si>
  <si>
    <t>Главный бухгалтер</t>
  </si>
  <si>
    <t>Секретарь</t>
  </si>
  <si>
    <t xml:space="preserve">медицинская сестра круглосуточного дежурства </t>
  </si>
  <si>
    <t>Младший медицинский персонал</t>
  </si>
  <si>
    <t xml:space="preserve">Иструктор по лечебной физической культуре </t>
  </si>
  <si>
    <t>Шеф повар</t>
  </si>
  <si>
    <t xml:space="preserve">Помошник воспитателя </t>
  </si>
  <si>
    <t xml:space="preserve">Рабочий по комплексному обслуживанию и ремонту зданий </t>
  </si>
  <si>
    <t>Оператор стиральных машин</t>
  </si>
  <si>
    <t xml:space="preserve">Кухонный рабочий </t>
  </si>
  <si>
    <t>Повар</t>
  </si>
  <si>
    <t xml:space="preserve">Мойшик посуды </t>
  </si>
  <si>
    <t xml:space="preserve">Грузчик </t>
  </si>
  <si>
    <t xml:space="preserve">Швея по ремонту одежды и белья  </t>
  </si>
  <si>
    <t xml:space="preserve">Кастелянша </t>
  </si>
  <si>
    <t>методист</t>
  </si>
  <si>
    <t>4</t>
  </si>
  <si>
    <t>Огий Людмила Владимировна</t>
  </si>
  <si>
    <t>Сарсембаева Кульчара Кабдышевна</t>
  </si>
  <si>
    <t>Гусева Любовь Кузьминична</t>
  </si>
  <si>
    <t>Айбасова Сауле Калкеновна</t>
  </si>
  <si>
    <t>Ахметов Кенжегали Искакович</t>
  </si>
  <si>
    <t>Фомина Лариса Николаевна</t>
  </si>
  <si>
    <t>Вахтер</t>
  </si>
  <si>
    <t>парикмахер</t>
  </si>
  <si>
    <t>сторож</t>
  </si>
  <si>
    <t>Хабибуллина Любовь Николаевна</t>
  </si>
  <si>
    <t>01.03.91МТ-I 167729 акушерка</t>
  </si>
  <si>
    <t>26.08.02 ОАБ 109093 зубной врач</t>
  </si>
  <si>
    <t>04.07.80 ГТ 088978 мед.сестра</t>
  </si>
  <si>
    <t xml:space="preserve">Рабочий по комплексному обслуживанию и ремонту зданий (лагеря в летний период) </t>
  </si>
  <si>
    <t>Инструктор по физкультуре (в летний период)</t>
  </si>
  <si>
    <t>заведующий лагерем</t>
  </si>
  <si>
    <t>х</t>
  </si>
  <si>
    <t>менеджер по гос.закупкам</t>
  </si>
  <si>
    <t>Безбородова Л.В.</t>
  </si>
  <si>
    <t>Р А С Ч Е Т</t>
  </si>
  <si>
    <t>Всего</t>
  </si>
  <si>
    <t>ставка</t>
  </si>
  <si>
    <t>5,00,00</t>
  </si>
  <si>
    <t>Пронина Лариса Валерьевна</t>
  </si>
  <si>
    <t xml:space="preserve">      Безбородова Л.В.</t>
  </si>
  <si>
    <t xml:space="preserve">23.03.95 ШВ 321926 </t>
  </si>
  <si>
    <t xml:space="preserve">22.03.83 ДТ303825 </t>
  </si>
  <si>
    <t xml:space="preserve"> 21.06.95 ЖБ-II 55473 </t>
  </si>
  <si>
    <t xml:space="preserve">16.06.05 ЖБ 80049 </t>
  </si>
  <si>
    <t>28.06.05.ЖБ 0080041</t>
  </si>
  <si>
    <t xml:space="preserve">20.06.97 ЖБ-II 156115 </t>
  </si>
  <si>
    <t>Бухгалтер</t>
  </si>
  <si>
    <t>Пеганова Наталья Федоровна</t>
  </si>
  <si>
    <t xml:space="preserve">Директор </t>
  </si>
  <si>
    <t>Гл.бухгалтер</t>
  </si>
  <si>
    <t>Расчет</t>
  </si>
  <si>
    <t>начисления з/платы за праздничные дни</t>
  </si>
  <si>
    <t xml:space="preserve">     Число должностей:</t>
  </si>
  <si>
    <t>G-разряд</t>
  </si>
  <si>
    <t>Наименование должностей</t>
  </si>
  <si>
    <t>Ср. дн. з/пл.</t>
  </si>
  <si>
    <t>повара</t>
  </si>
  <si>
    <t>кухоный рабочий</t>
  </si>
  <si>
    <t>итого</t>
  </si>
  <si>
    <t>воспитатели</t>
  </si>
  <si>
    <t>кочегары</t>
  </si>
  <si>
    <t>медсестры</t>
  </si>
  <si>
    <t>пом.воспитателя</t>
  </si>
  <si>
    <t>к-во едениц</t>
  </si>
  <si>
    <t>кол-во дней</t>
  </si>
  <si>
    <t>Воспитатели</t>
  </si>
  <si>
    <t>Мед.сестры круг деж</t>
  </si>
  <si>
    <t>Мл.мед. персонал</t>
  </si>
  <si>
    <t>Пом. Воспитателя</t>
  </si>
  <si>
    <t>Повора</t>
  </si>
  <si>
    <t>Кухонный рабочий</t>
  </si>
  <si>
    <t>Сторожа</t>
  </si>
  <si>
    <t>Клажовщик</t>
  </si>
  <si>
    <t>Л. Безбородова</t>
  </si>
  <si>
    <t>№</t>
  </si>
  <si>
    <t>Библиотекарь</t>
  </si>
  <si>
    <t>Свод</t>
  </si>
  <si>
    <t xml:space="preserve">расчетов по заработной плате согласно штатного расписания и тарификации педперсонала и воспитателей  </t>
  </si>
  <si>
    <t xml:space="preserve">Содержание записи </t>
  </si>
  <si>
    <t xml:space="preserve">Количество </t>
  </si>
  <si>
    <t xml:space="preserve">Сумма ставочного оклада </t>
  </si>
  <si>
    <t>Всего доплат за месяц</t>
  </si>
  <si>
    <t>Всего за месяц</t>
  </si>
  <si>
    <t>за проверку тетрадей 20-25%</t>
  </si>
  <si>
    <t>За заведование кабинетом</t>
  </si>
  <si>
    <t>За совмещение должностей</t>
  </si>
  <si>
    <t>За классность</t>
  </si>
  <si>
    <t xml:space="preserve">За работу в ночное время </t>
  </si>
  <si>
    <t>часов</t>
  </si>
  <si>
    <t>ставок</t>
  </si>
  <si>
    <t>Учитель 1-4 класс</t>
  </si>
  <si>
    <t>Учитель 5-9 классы</t>
  </si>
  <si>
    <t xml:space="preserve">Всего по учителям </t>
  </si>
  <si>
    <t>Админ.управл.персонал</t>
  </si>
  <si>
    <t>Учебно-вспомогательный персонал</t>
  </si>
  <si>
    <t>Хоз.техн. персонал</t>
  </si>
  <si>
    <t xml:space="preserve">Воспитатели </t>
  </si>
  <si>
    <t>Всего за 4 мес</t>
  </si>
  <si>
    <t>22,02,05 ЖБ    0471378</t>
  </si>
  <si>
    <t>04,02,08 ДИС          0041722</t>
  </si>
  <si>
    <t>Ф,И,О</t>
  </si>
  <si>
    <t>должность</t>
  </si>
  <si>
    <t>оклад</t>
  </si>
  <si>
    <t>ср.годовое кол-во часов</t>
  </si>
  <si>
    <t>кол-во ночных часов (8)</t>
  </si>
  <si>
    <t>кол-во смен</t>
  </si>
  <si>
    <t>Кочегар</t>
  </si>
  <si>
    <t>Сторож школа</t>
  </si>
  <si>
    <t>Сторож лагерь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</si>
  <si>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</si>
  <si>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</si>
  <si>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</si>
  <si>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</si>
  <si>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</si>
  <si>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</si>
  <si>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</si>
  <si>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</si>
  <si>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</si>
  <si>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</si>
  <si>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</si>
  <si>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</si>
  <si>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воспит</t>
  </si>
  <si>
    <t>кух ра</t>
  </si>
  <si>
    <t>Расчет замены отпусков</t>
  </si>
  <si>
    <t>КГУ "Соколовская специальная (коррекционная) школа-интернат для детей сирот и детей,  оставшихся без попечения родителей с ограниченными возможностями в развитиии" акимата Северо-Казахстанской области Министерства образования и науки РК</t>
  </si>
  <si>
    <t>*</t>
  </si>
  <si>
    <t>,</t>
  </si>
  <si>
    <t>экономист</t>
  </si>
  <si>
    <t>16.05.02 ЖБ № 0250475</t>
  </si>
  <si>
    <t>Бухгалтер _____________ М.Еремина</t>
  </si>
  <si>
    <t>Мухамеджанова Галина Николаевна</t>
  </si>
  <si>
    <t xml:space="preserve">01.03.91МТ-I 167729 </t>
  </si>
  <si>
    <t>КТ 301320 от 3.06.87</t>
  </si>
  <si>
    <t>логопед</t>
  </si>
  <si>
    <t>28.02.01.ЖБ 0156616</t>
  </si>
  <si>
    <t xml:space="preserve">Кол-во празд. </t>
  </si>
  <si>
    <t>26.05.98 ОАБ 0001041</t>
  </si>
  <si>
    <t>10% надбавка 011</t>
  </si>
  <si>
    <t>ЖБ-Б 0506398 от 08.07.14</t>
  </si>
  <si>
    <t>надбавка "Назарбаев интеллектуальные школы) по 011</t>
  </si>
  <si>
    <t>Данилова М.А</t>
  </si>
  <si>
    <t>часы по балансу</t>
  </si>
  <si>
    <t>Кол-вопраздничных часов</t>
  </si>
  <si>
    <t>сторожа лагеря</t>
  </si>
  <si>
    <t xml:space="preserve">сторожа школы </t>
  </si>
  <si>
    <t>начисления сверхурочных часов</t>
  </si>
  <si>
    <t xml:space="preserve">Кол-во сверхурочных часов </t>
  </si>
  <si>
    <t>размер сверхурочных часов</t>
  </si>
  <si>
    <t>За сверхурочную работу</t>
  </si>
  <si>
    <t xml:space="preserve"> №291135 20.05.1989</t>
  </si>
  <si>
    <t>24.12.2012   РА 79534</t>
  </si>
  <si>
    <t>М.Данилова</t>
  </si>
  <si>
    <t>Всего за 12 мес</t>
  </si>
  <si>
    <t xml:space="preserve">Замещение во время отпуска </t>
  </si>
  <si>
    <t>Расчет сторожей школы</t>
  </si>
  <si>
    <t>Расчет кочегаров</t>
  </si>
  <si>
    <t>С 1 января  по 30 апреля 2015 года 120 календарных дней</t>
  </si>
  <si>
    <t xml:space="preserve">часы по балансу средние </t>
  </si>
  <si>
    <t xml:space="preserve">Сторожа школы </t>
  </si>
  <si>
    <t>00,00,00</t>
  </si>
  <si>
    <t>120 *24 =2880 часов</t>
  </si>
  <si>
    <t>При шестидневной работе 36- часовой рабочей недели 4 сторожа отработают 2304 часа</t>
  </si>
  <si>
    <t>Праздниные часы составят 168часов</t>
  </si>
  <si>
    <t>Сверхурочные составят : 2880-2304-168=408</t>
  </si>
  <si>
    <t>Сумма за 6 мес</t>
  </si>
  <si>
    <t>Сумма за месяц</t>
  </si>
  <si>
    <t>с 1.01.2015 по 30,06,2015 года 181 календарный день</t>
  </si>
  <si>
    <t>181 к.д*24ч в сутки=4344 часов</t>
  </si>
  <si>
    <t>Вахтер отрабатывает  при пятидневной рабочей недели 952  часа</t>
  </si>
  <si>
    <t>Сторожа  (3 ставки) при шестидневной рабочей недели отрабатываю 2901 час</t>
  </si>
  <si>
    <t>Праздничные часы за это период составляют 240 часов</t>
  </si>
  <si>
    <t>Итого сверхурочные :  4344-952-2901-240=251 час</t>
  </si>
  <si>
    <t>1 полугодие 2015 года</t>
  </si>
  <si>
    <t xml:space="preserve">           на</t>
  </si>
  <si>
    <t>высшая</t>
  </si>
  <si>
    <t>Учитель 10 классы</t>
  </si>
  <si>
    <t>Звено</t>
  </si>
  <si>
    <t>Ступень</t>
  </si>
  <si>
    <t>В2</t>
  </si>
  <si>
    <t>В4</t>
  </si>
  <si>
    <t>В3</t>
  </si>
  <si>
    <t>А1</t>
  </si>
  <si>
    <t>А2</t>
  </si>
  <si>
    <t>2</t>
  </si>
  <si>
    <t>С3</t>
  </si>
  <si>
    <t>С2</t>
  </si>
  <si>
    <t>D1</t>
  </si>
  <si>
    <t>C2</t>
  </si>
  <si>
    <t>B3</t>
  </si>
  <si>
    <t>3</t>
  </si>
  <si>
    <t>B4</t>
  </si>
  <si>
    <t>С1</t>
  </si>
  <si>
    <t>Педагог дополнительного образования</t>
  </si>
  <si>
    <t>Праздничные часы за это период составляют 336 часов</t>
  </si>
  <si>
    <t>Праздничные часы за это период составляют 9*24=216 часов</t>
  </si>
  <si>
    <t xml:space="preserve">Праздничные  </t>
  </si>
  <si>
    <t>Кочегары (-4 мес)</t>
  </si>
  <si>
    <t>2-1</t>
  </si>
  <si>
    <t>15.06.2007 БЖБ 0010275</t>
  </si>
  <si>
    <t>За проведение  внекласной работы  по программе здорового образа жизни детей</t>
  </si>
  <si>
    <t>13,06,2016 ЖБ-Б 0120667</t>
  </si>
  <si>
    <t>ИТ 095129 от05.07.1985г</t>
  </si>
  <si>
    <t xml:space="preserve">Ср.дневная заработная плата </t>
  </si>
  <si>
    <t>В связи с тем, что у сторожей, кочегаров и мед.работников согласно расчета, выявляется переработка, праздничные дни учитываем без учета работы в свое рабочее время. т.е в полуторном  размере</t>
  </si>
  <si>
    <t>365 к.д*24 ч в сутки=8760 часов</t>
  </si>
  <si>
    <t>Начальник лагеря</t>
  </si>
  <si>
    <t>Адм хоз лагерь</t>
  </si>
  <si>
    <t>электромантер</t>
  </si>
  <si>
    <t>ПДО</t>
  </si>
  <si>
    <t>с 1.01.2018 по 31,12,2018 года 365 календарных дней</t>
  </si>
  <si>
    <t>Вахтер отрабатывает  при пятидневной рабочей недели 1968 часов</t>
  </si>
  <si>
    <t>212 *24 =5088 часов</t>
  </si>
  <si>
    <t>05.07.2011 ВБА 0716477</t>
  </si>
  <si>
    <t>Разница в заработной плате согл пос№1193 п4. п.п 6</t>
  </si>
  <si>
    <t>D</t>
  </si>
  <si>
    <t>00.00.00</t>
  </si>
  <si>
    <t>Кузьменко Сергей Борисович</t>
  </si>
  <si>
    <t>по КГУ "Соколовская специальная (коррекционная) школа-интернат для детей-сирот и детей, 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РК на 1 сентября 2018 года</t>
  </si>
  <si>
    <t>Обновленка</t>
  </si>
  <si>
    <t>мастерство</t>
  </si>
  <si>
    <t>Мастерство 35%</t>
  </si>
  <si>
    <t>ОАБ 0119019 от 23.06.00</t>
  </si>
  <si>
    <t>на 2019 год</t>
  </si>
  <si>
    <t>начисления з/платы за ночное время на  2019 год</t>
  </si>
  <si>
    <t>На 2019 год</t>
  </si>
  <si>
    <t xml:space="preserve">        на 2019 год</t>
  </si>
  <si>
    <t>Сторожа  (3 ставки) при шестидневной рабочей недели отрабатываю 5958 час</t>
  </si>
  <si>
    <t>Итого сверхурочные : 8760-1968-5958-336=498 часов</t>
  </si>
  <si>
    <t>При шестидневной работе 36- часовой рабочей недели 4 кочегара  отработают 4128 часа</t>
  </si>
  <si>
    <t>Сверхурочные составят :5088-216-4128=744</t>
  </si>
  <si>
    <t>B2</t>
  </si>
  <si>
    <t>По пед.мастерству</t>
  </si>
  <si>
    <t>25,03,24</t>
  </si>
  <si>
    <t>27,05,05</t>
  </si>
  <si>
    <t>14,05,12</t>
  </si>
  <si>
    <t>25,09,08</t>
  </si>
  <si>
    <t>17,05,29</t>
  </si>
  <si>
    <t>20,11,14</t>
  </si>
  <si>
    <t>28,10,12</t>
  </si>
  <si>
    <t>21,00,04</t>
  </si>
  <si>
    <t>31,01,22</t>
  </si>
  <si>
    <t>ОАБ 0304114 от17.06.2004</t>
  </si>
  <si>
    <t xml:space="preserve">                                 Штатное расписание административно-хозяйственного персонала по КГУ "Соколовская специальная (коррекционная) школа-интернат для детей сирот и детей, 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РК на 1 сентября 2019  года.</t>
  </si>
  <si>
    <t xml:space="preserve"> Заместитель директора по учебно воспитательной работе</t>
  </si>
  <si>
    <t>01,07,00</t>
  </si>
  <si>
    <t>29,10,29</t>
  </si>
  <si>
    <t>12,00,10</t>
  </si>
  <si>
    <t>36,00,00</t>
  </si>
  <si>
    <t>30,02,28</t>
  </si>
  <si>
    <t>30.06.05.ОАБ 39317</t>
  </si>
  <si>
    <t>32,08,00</t>
  </si>
  <si>
    <t>21,11,02</t>
  </si>
  <si>
    <t>28,03,28</t>
  </si>
  <si>
    <t>38,11,13</t>
  </si>
  <si>
    <t>10,05,11</t>
  </si>
  <si>
    <t>33,07,27</t>
  </si>
  <si>
    <t>27,11,24</t>
  </si>
  <si>
    <t>28,04,19</t>
  </si>
  <si>
    <t>01,02,00</t>
  </si>
  <si>
    <t>01.07.24</t>
  </si>
  <si>
    <t>05,11,17</t>
  </si>
  <si>
    <t>21,02,01</t>
  </si>
  <si>
    <t>Музыкальный руководитель</t>
  </si>
  <si>
    <t>04.11.21</t>
  </si>
  <si>
    <t>14,11,26</t>
  </si>
  <si>
    <t>Тарификационный список учителей на 1 сентября  2019 года КГУ "Соколовская специальная (коррекционная) школа-интернат для детей-сирот и детей, 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РК</t>
  </si>
  <si>
    <t>14 дней</t>
  </si>
  <si>
    <t>за отопительнй сезон 2019 года 212 календарных дней</t>
  </si>
  <si>
    <t>общая</t>
  </si>
  <si>
    <t>итого  на 12 месяцев</t>
  </si>
  <si>
    <t>По обновленке</t>
  </si>
  <si>
    <t>по КГУ "Соколовская специальная (коррекционная) школа-интернат для детей-сирот и детей, 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РК на 1 сентября 2019 года</t>
  </si>
  <si>
    <t>10,03,18</t>
  </si>
  <si>
    <t>Педагог психолог</t>
  </si>
  <si>
    <t>Итого без педагога-психолога</t>
  </si>
  <si>
    <t>на 01.09.2019</t>
  </si>
  <si>
    <t>обновленка</t>
  </si>
  <si>
    <t>Количество ставок</t>
  </si>
  <si>
    <t>Количество часов в неделю</t>
  </si>
  <si>
    <t>Заработная плата в месяц</t>
  </si>
  <si>
    <t>Ко-во учащихся</t>
  </si>
  <si>
    <t>Доплаты</t>
  </si>
  <si>
    <t>праздничные</t>
  </si>
  <si>
    <t>замена отпусков</t>
  </si>
  <si>
    <t>ИТОГО заработная плата в месяц, тенге</t>
  </si>
  <si>
    <t>доплаты</t>
  </si>
  <si>
    <t>Утверждаю                         М.Данилова</t>
  </si>
  <si>
    <t>Месячный фонд з/платы : 9727109 (девять миллионов семьсот двадцать семь тысяч сто девять)тенге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</si>
</sst>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"/>
    <numFmt numFmtId="166" formatCode="dd/mm/yy;@"/>
  </numFmts>
  <fonts count="3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Helv"/>
      <charset val="204"/>
    </font>
    <font>
      <b/>
      <sz val="8"/>
      <name val="Arial Cyr"/>
      <charset val="204"/>
    </font>
    <font>
      <b/>
      <sz val="10"/>
      <name val="Helv"/>
      <charset val="204"/>
    </font>
    <font>
      <sz val="11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sz val="11"/>
      <color theme="1"/>
      <name val="Arial Cyr"/>
      <charset val="204"/>
    </font>
    <font>
      <b/>
      <sz val="11"/>
      <name val="Arial Cyr"/>
      <charset val="204"/>
    </font>
    <font>
      <b/>
      <sz val="12"/>
      <name val="Arial Rounded MT Bold"/>
      <family val="2"/>
    </font>
    <font>
      <b/>
      <sz val="11"/>
      <name val="Arial Rounded MT Bold"/>
      <family val="2"/>
    </font>
    <font>
      <sz val="14"/>
      <color theme="1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4"/>
      <color theme="1"/>
      <name val="Arial Cyr"/>
      <charset val="204"/>
    </font>
    <font>
      <sz val="14"/>
      <color rgb="FFFF0000"/>
      <name val="Arial Cyr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sz val="14"/>
      <color rgb="FFFF00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4"/>
      <color theme="5"/>
      <name val="Arial Cyr"/>
      <charset val="204"/>
    </font>
    <font>
      <sz val="10"/>
      <color theme="5"/>
      <name val="Arial Cyr"/>
      <charset val="204"/>
    </font>
    <font>
      <sz val="10"/>
      <name val="Agency FB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3">
    <xf numFmtId="0" fontId="0" fillId="0" borderId="0" xfId="0"/>
    <xf numFmtId="0" fontId="0" fillId="0" borderId="0" xfId="0" applyFill="1"/>
    <xf numFmtId="0" fontId="3" fillId="0" borderId="0" xfId="0" applyFont="1"/>
    <xf numFmtId="0" fontId="13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14" fillId="2" borderId="0" xfId="0" applyFont="1" applyFill="1"/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0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 applyProtection="1">
      <alignment wrapText="1"/>
    </xf>
    <xf numFmtId="0" fontId="3" fillId="2" borderId="0" xfId="0" applyFont="1" applyFill="1"/>
    <xf numFmtId="0" fontId="6" fillId="2" borderId="0" xfId="0" applyFont="1" applyFill="1"/>
    <xf numFmtId="0" fontId="9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2" borderId="0" xfId="0" applyFont="1" applyFill="1" applyBorder="1"/>
    <xf numFmtId="0" fontId="8" fillId="2" borderId="0" xfId="0" applyFont="1" applyFill="1"/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3" fillId="0" borderId="3" xfId="0" applyFont="1" applyBorder="1"/>
    <xf numFmtId="0" fontId="3" fillId="0" borderId="0" xfId="0" applyFont="1" applyFill="1" applyBorder="1" applyAlignment="1">
      <alignment wrapText="1"/>
    </xf>
    <xf numFmtId="0" fontId="3" fillId="0" borderId="10" xfId="0" applyFont="1" applyBorder="1"/>
    <xf numFmtId="0" fontId="11" fillId="0" borderId="0" xfId="0" applyFont="1"/>
    <xf numFmtId="0" fontId="11" fillId="0" borderId="0" xfId="0" applyFont="1" applyBorder="1"/>
    <xf numFmtId="0" fontId="4" fillId="2" borderId="0" xfId="0" applyFont="1" applyFill="1"/>
    <xf numFmtId="0" fontId="5" fillId="2" borderId="0" xfId="0" applyFont="1" applyFill="1"/>
    <xf numFmtId="0" fontId="0" fillId="2" borderId="0" xfId="0" applyFill="1" applyBorder="1"/>
    <xf numFmtId="0" fontId="3" fillId="2" borderId="0" xfId="0" applyFont="1" applyFill="1" applyBorder="1"/>
    <xf numFmtId="0" fontId="8" fillId="2" borderId="0" xfId="0" applyFont="1" applyFill="1" applyBorder="1"/>
    <xf numFmtId="0" fontId="5" fillId="2" borderId="0" xfId="0" applyFont="1" applyFill="1" applyBorder="1"/>
    <xf numFmtId="0" fontId="4" fillId="0" borderId="0" xfId="0" applyFont="1"/>
    <xf numFmtId="0" fontId="3" fillId="3" borderId="0" xfId="0" applyFont="1" applyFill="1"/>
    <xf numFmtId="0" fontId="11" fillId="0" borderId="0" xfId="0" applyFont="1" applyBorder="1" applyAlignment="1">
      <alignment horizontal="center"/>
    </xf>
    <xf numFmtId="0" fontId="0" fillId="0" borderId="1" xfId="0" applyFont="1" applyBorder="1"/>
    <xf numFmtId="0" fontId="3" fillId="2" borderId="1" xfId="0" applyFont="1" applyFill="1" applyBorder="1" applyAlignment="1">
      <alignment wrapText="1"/>
    </xf>
    <xf numFmtId="0" fontId="0" fillId="3" borderId="1" xfId="0" applyFill="1" applyBorder="1"/>
    <xf numFmtId="0" fontId="4" fillId="0" borderId="1" xfId="0" applyFont="1" applyBorder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13" fillId="2" borderId="0" xfId="0" applyFont="1" applyFill="1"/>
    <xf numFmtId="0" fontId="12" fillId="2" borderId="0" xfId="0" applyFont="1" applyFill="1"/>
    <xf numFmtId="0" fontId="12" fillId="2" borderId="2" xfId="0" applyFont="1" applyFill="1" applyBorder="1" applyAlignment="1">
      <alignment horizontal="center" wrapText="1"/>
    </xf>
    <xf numFmtId="0" fontId="16" fillId="2" borderId="1" xfId="0" applyFont="1" applyFill="1" applyBorder="1"/>
    <xf numFmtId="1" fontId="16" fillId="2" borderId="1" xfId="0" applyNumberFormat="1" applyFont="1" applyFill="1" applyBorder="1"/>
    <xf numFmtId="0" fontId="12" fillId="2" borderId="2" xfId="0" applyFont="1" applyFill="1" applyBorder="1" applyAlignment="1">
      <alignment horizontal="center"/>
    </xf>
    <xf numFmtId="1" fontId="0" fillId="2" borderId="1" xfId="0" applyNumberFormat="1" applyFill="1" applyBorder="1"/>
    <xf numFmtId="2" fontId="11" fillId="2" borderId="14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" fontId="0" fillId="0" borderId="1" xfId="0" applyNumberFormat="1" applyBorder="1"/>
    <xf numFmtId="1" fontId="3" fillId="2" borderId="1" xfId="0" applyNumberFormat="1" applyFont="1" applyFill="1" applyBorder="1"/>
    <xf numFmtId="0" fontId="9" fillId="0" borderId="0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7" fillId="2" borderId="0" xfId="0" applyFont="1" applyFill="1"/>
    <xf numFmtId="0" fontId="17" fillId="2" borderId="0" xfId="0" applyFont="1" applyFill="1"/>
    <xf numFmtId="0" fontId="17" fillId="2" borderId="0" xfId="0" applyFont="1" applyFill="1" applyBorder="1"/>
    <xf numFmtId="0" fontId="10" fillId="2" borderId="0" xfId="0" applyFont="1" applyFill="1" applyBorder="1"/>
    <xf numFmtId="2" fontId="16" fillId="2" borderId="1" xfId="0" applyNumberFormat="1" applyFont="1" applyFill="1" applyBorder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9" fillId="0" borderId="20" xfId="0" applyFont="1" applyBorder="1" applyAlignment="1">
      <alignment horizontal="center"/>
    </xf>
    <xf numFmtId="0" fontId="3" fillId="2" borderId="1" xfId="0" applyFont="1" applyFill="1" applyBorder="1"/>
    <xf numFmtId="0" fontId="18" fillId="2" borderId="0" xfId="0" applyFont="1" applyFill="1"/>
    <xf numFmtId="0" fontId="9" fillId="0" borderId="21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2" borderId="0" xfId="0" applyNumberFormat="1" applyFont="1" applyFill="1"/>
    <xf numFmtId="165" fontId="16" fillId="2" borderId="1" xfId="0" applyNumberFormat="1" applyFont="1" applyFill="1" applyBorder="1"/>
    <xf numFmtId="0" fontId="0" fillId="2" borderId="1" xfId="0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9" fillId="2" borderId="0" xfId="0" applyFont="1" applyFill="1"/>
    <xf numFmtId="49" fontId="0" fillId="2" borderId="0" xfId="0" applyNumberFormat="1" applyFill="1"/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3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horizontal="center"/>
    </xf>
    <xf numFmtId="2" fontId="14" fillId="2" borderId="0" xfId="0" applyNumberFormat="1" applyFont="1" applyFill="1"/>
    <xf numFmtId="2" fontId="13" fillId="2" borderId="0" xfId="0" applyNumberFormat="1" applyFont="1" applyFill="1"/>
    <xf numFmtId="1" fontId="14" fillId="2" borderId="0" xfId="0" applyNumberFormat="1" applyFont="1" applyFill="1"/>
    <xf numFmtId="1" fontId="13" fillId="2" borderId="0" xfId="0" applyNumberFormat="1" applyFont="1" applyFill="1"/>
    <xf numFmtId="2" fontId="0" fillId="2" borderId="0" xfId="0" applyNumberFormat="1" applyFill="1"/>
    <xf numFmtId="1" fontId="0" fillId="2" borderId="0" xfId="0" applyNumberFormat="1" applyFill="1"/>
    <xf numFmtId="2" fontId="3" fillId="2" borderId="0" xfId="0" applyNumberFormat="1" applyFont="1" applyFill="1"/>
    <xf numFmtId="1" fontId="3" fillId="2" borderId="0" xfId="0" applyNumberFormat="1" applyFont="1" applyFill="1"/>
    <xf numFmtId="0" fontId="0" fillId="3" borderId="0" xfId="0" applyFill="1"/>
    <xf numFmtId="1" fontId="8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19" fillId="2" borderId="0" xfId="0" applyFont="1" applyFill="1"/>
    <xf numFmtId="2" fontId="8" fillId="2" borderId="0" xfId="0" applyNumberFormat="1" applyFont="1" applyFill="1"/>
    <xf numFmtId="2" fontId="8" fillId="2" borderId="0" xfId="0" applyNumberFormat="1" applyFont="1" applyFill="1" applyBorder="1"/>
    <xf numFmtId="0" fontId="8" fillId="3" borderId="0" xfId="0" applyFont="1" applyFill="1"/>
    <xf numFmtId="2" fontId="6" fillId="2" borderId="0" xfId="0" applyNumberFormat="1" applyFont="1" applyFill="1"/>
    <xf numFmtId="0" fontId="0" fillId="2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0" fillId="2" borderId="0" xfId="0" applyFont="1" applyFill="1" applyAlignment="1"/>
    <xf numFmtId="9" fontId="0" fillId="2" borderId="0" xfId="0" applyNumberFormat="1" applyFont="1" applyFill="1"/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horizontal="center" wrapText="1"/>
    </xf>
    <xf numFmtId="49" fontId="12" fillId="2" borderId="2" xfId="0" applyNumberFormat="1" applyFont="1" applyFill="1" applyBorder="1" applyAlignment="1">
      <alignment horizontal="center"/>
    </xf>
    <xf numFmtId="0" fontId="22" fillId="2" borderId="0" xfId="0" applyFont="1" applyFill="1"/>
    <xf numFmtId="0" fontId="23" fillId="2" borderId="0" xfId="0" applyFont="1" applyFill="1"/>
    <xf numFmtId="0" fontId="11" fillId="2" borderId="0" xfId="0" applyFont="1" applyFill="1" applyBorder="1"/>
    <xf numFmtId="0" fontId="9" fillId="2" borderId="0" xfId="0" applyFont="1" applyFill="1" applyBorder="1"/>
    <xf numFmtId="49" fontId="0" fillId="2" borderId="0" xfId="0" applyNumberFormat="1" applyFill="1" applyBorder="1"/>
    <xf numFmtId="0" fontId="0" fillId="2" borderId="0" xfId="0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0" fontId="15" fillId="0" borderId="7" xfId="0" applyFont="1" applyFill="1" applyBorder="1" applyAlignment="1">
      <alignment wrapText="1"/>
    </xf>
    <xf numFmtId="2" fontId="15" fillId="0" borderId="1" xfId="0" applyNumberFormat="1" applyFont="1" applyFill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0" fontId="15" fillId="0" borderId="2" xfId="0" applyFont="1" applyFill="1" applyBorder="1" applyAlignment="1">
      <alignment wrapText="1"/>
    </xf>
    <xf numFmtId="2" fontId="15" fillId="0" borderId="2" xfId="0" applyNumberFormat="1" applyFont="1" applyFill="1" applyBorder="1" applyAlignment="1">
      <alignment wrapText="1"/>
    </xf>
    <xf numFmtId="164" fontId="8" fillId="2" borderId="0" xfId="0" applyNumberFormat="1" applyFont="1" applyFill="1"/>
    <xf numFmtId="0" fontId="8" fillId="2" borderId="0" xfId="0" applyFont="1" applyFill="1" applyAlignment="1"/>
    <xf numFmtId="9" fontId="8" fillId="2" borderId="0" xfId="0" applyNumberFormat="1" applyFont="1" applyFill="1"/>
    <xf numFmtId="0" fontId="8" fillId="2" borderId="0" xfId="0" applyFont="1" applyFill="1" applyAlignment="1">
      <alignment horizontal="right"/>
    </xf>
    <xf numFmtId="0" fontId="20" fillId="2" borderId="2" xfId="0" applyNumberFormat="1" applyFont="1" applyFill="1" applyBorder="1" applyAlignment="1">
      <alignment horizontal="center" wrapText="1"/>
    </xf>
    <xf numFmtId="0" fontId="20" fillId="2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0" fillId="2" borderId="1" xfId="0" applyFont="1" applyFill="1" applyBorder="1" applyAlignment="1">
      <alignment horizontal="center"/>
    </xf>
    <xf numFmtId="2" fontId="20" fillId="2" borderId="1" xfId="0" applyNumberFormat="1" applyFont="1" applyFill="1" applyBorder="1" applyAlignment="1">
      <alignment horizontal="center"/>
    </xf>
    <xf numFmtId="1" fontId="20" fillId="2" borderId="1" xfId="0" applyNumberFormat="1" applyFont="1" applyFill="1" applyBorder="1" applyAlignment="1">
      <alignment horizontal="center"/>
    </xf>
    <xf numFmtId="0" fontId="4" fillId="2" borderId="3" xfId="0" applyFont="1" applyFill="1" applyBorder="1"/>
    <xf numFmtId="2" fontId="4" fillId="2" borderId="0" xfId="0" applyNumberFormat="1" applyFont="1" applyFill="1"/>
    <xf numFmtId="1" fontId="4" fillId="2" borderId="0" xfId="0" applyNumberFormat="1" applyFont="1" applyFill="1"/>
    <xf numFmtId="0" fontId="0" fillId="2" borderId="0" xfId="0" applyFont="1" applyFill="1" applyAlignment="1">
      <alignment wrapText="1"/>
    </xf>
    <xf numFmtId="0" fontId="15" fillId="2" borderId="1" xfId="0" applyFont="1" applyFill="1" applyBorder="1"/>
    <xf numFmtId="0" fontId="21" fillId="2" borderId="1" xfId="0" applyFont="1" applyFill="1" applyBorder="1" applyAlignment="1">
      <alignment horizontal="center" vertical="center"/>
    </xf>
    <xf numFmtId="2" fontId="15" fillId="2" borderId="1" xfId="0" applyNumberFormat="1" applyFont="1" applyFill="1" applyBorder="1"/>
    <xf numFmtId="2" fontId="15" fillId="2" borderId="1" xfId="0" applyNumberFormat="1" applyFont="1" applyFill="1" applyBorder="1" applyAlignment="1">
      <alignment wrapText="1"/>
    </xf>
    <xf numFmtId="0" fontId="0" fillId="2" borderId="1" xfId="0" applyFont="1" applyFill="1" applyBorder="1" applyAlignment="1" applyProtection="1">
      <alignment wrapText="1"/>
    </xf>
    <xf numFmtId="0" fontId="8" fillId="2" borderId="0" xfId="0" applyFont="1" applyFill="1" applyBorder="1" applyAlignment="1">
      <alignment horizontal="center"/>
    </xf>
    <xf numFmtId="0" fontId="0" fillId="3" borderId="0" xfId="0" applyFont="1" applyFill="1"/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2" fontId="0" fillId="2" borderId="0" xfId="0" applyNumberFormat="1" applyFont="1" applyFill="1"/>
    <xf numFmtId="0" fontId="0" fillId="2" borderId="1" xfId="0" applyFill="1" applyBorder="1" applyAlignment="1">
      <alignment horizontal="center" vertical="center" wrapText="1"/>
    </xf>
    <xf numFmtId="49" fontId="8" fillId="2" borderId="0" xfId="0" applyNumberFormat="1" applyFont="1" applyFill="1"/>
    <xf numFmtId="49" fontId="8" fillId="5" borderId="0" xfId="0" applyNumberFormat="1" applyFont="1" applyFill="1"/>
    <xf numFmtId="0" fontId="3" fillId="2" borderId="10" xfId="0" applyFont="1" applyFill="1" applyBorder="1"/>
    <xf numFmtId="2" fontId="15" fillId="2" borderId="2" xfId="0" applyNumberFormat="1" applyFont="1" applyFill="1" applyBorder="1"/>
    <xf numFmtId="0" fontId="0" fillId="2" borderId="1" xfId="0" applyFill="1" applyBorder="1"/>
    <xf numFmtId="0" fontId="0" fillId="2" borderId="0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wrapText="1"/>
    </xf>
    <xf numFmtId="2" fontId="0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wrapText="1"/>
    </xf>
    <xf numFmtId="2" fontId="2" fillId="2" borderId="1" xfId="0" applyNumberFormat="1" applyFont="1" applyFill="1" applyBorder="1" applyAlignment="1" applyProtection="1">
      <alignment wrapText="1"/>
    </xf>
    <xf numFmtId="0" fontId="2" fillId="2" borderId="7" xfId="0" applyFont="1" applyFill="1" applyBorder="1" applyAlignment="1">
      <alignment wrapText="1"/>
    </xf>
    <xf numFmtId="0" fontId="2" fillId="2" borderId="1" xfId="0" applyFont="1" applyFill="1" applyBorder="1" applyProtection="1"/>
    <xf numFmtId="2" fontId="2" fillId="2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/>
    <xf numFmtId="1" fontId="2" fillId="2" borderId="1" xfId="0" applyNumberFormat="1" applyFont="1" applyFill="1" applyBorder="1" applyAlignment="1">
      <alignment wrapText="1"/>
    </xf>
    <xf numFmtId="2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166" fontId="2" fillId="2" borderId="2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2" fontId="0" fillId="2" borderId="7" xfId="0" applyNumberFormat="1" applyFont="1" applyFill="1" applyBorder="1" applyAlignment="1">
      <alignment horizontal="center"/>
    </xf>
    <xf numFmtId="1" fontId="9" fillId="2" borderId="7" xfId="0" applyNumberFormat="1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1" fontId="11" fillId="2" borderId="25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11" fillId="2" borderId="26" xfId="0" applyNumberFormat="1" applyFont="1" applyFill="1" applyBorder="1" applyAlignment="1">
      <alignment horizontal="center"/>
    </xf>
    <xf numFmtId="0" fontId="12" fillId="2" borderId="7" xfId="0" applyFont="1" applyFill="1" applyBorder="1" applyAlignment="1">
      <alignment wrapText="1"/>
    </xf>
    <xf numFmtId="1" fontId="12" fillId="2" borderId="7" xfId="0" applyNumberFormat="1" applyFont="1" applyFill="1" applyBorder="1" applyAlignment="1">
      <alignment wrapText="1"/>
    </xf>
    <xf numFmtId="2" fontId="12" fillId="2" borderId="7" xfId="0" applyNumberFormat="1" applyFont="1" applyFill="1" applyBorder="1" applyAlignment="1">
      <alignment wrapText="1"/>
    </xf>
    <xf numFmtId="2" fontId="12" fillId="2" borderId="1" xfId="0" applyNumberFormat="1" applyFont="1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1" fontId="0" fillId="2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wrapText="1"/>
    </xf>
    <xf numFmtId="2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2" borderId="1" xfId="0" applyFill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 vertical="center"/>
    </xf>
    <xf numFmtId="2" fontId="15" fillId="2" borderId="7" xfId="0" applyNumberFormat="1" applyFont="1" applyFill="1" applyBorder="1"/>
    <xf numFmtId="0" fontId="21" fillId="2" borderId="2" xfId="0" applyFont="1" applyFill="1" applyBorder="1" applyAlignment="1">
      <alignment horizontal="center" vertical="center"/>
    </xf>
    <xf numFmtId="49" fontId="8" fillId="3" borderId="0" xfId="0" applyNumberFormat="1" applyFont="1" applyFill="1"/>
    <xf numFmtId="2" fontId="6" fillId="3" borderId="0" xfId="0" applyNumberFormat="1" applyFont="1" applyFill="1"/>
    <xf numFmtId="0" fontId="2" fillId="2" borderId="1" xfId="0" applyFont="1" applyFill="1" applyBorder="1" applyAlignment="1">
      <alignment horizontal="left"/>
    </xf>
    <xf numFmtId="165" fontId="2" fillId="2" borderId="1" xfId="0" applyNumberFormat="1" applyFont="1" applyFill="1" applyBorder="1" applyAlignment="1">
      <alignment wrapText="1"/>
    </xf>
    <xf numFmtId="0" fontId="20" fillId="2" borderId="1" xfId="0" applyFont="1" applyFill="1" applyBorder="1" applyAlignment="1">
      <alignment horizontal="center" wrapText="1"/>
    </xf>
    <xf numFmtId="0" fontId="20" fillId="2" borderId="2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vertical="top" wrapText="1"/>
    </xf>
    <xf numFmtId="1" fontId="12" fillId="2" borderId="0" xfId="0" applyNumberFormat="1" applyFont="1" applyFill="1"/>
    <xf numFmtId="1" fontId="0" fillId="2" borderId="1" xfId="0" applyNumberFormat="1" applyFont="1" applyFill="1" applyBorder="1"/>
    <xf numFmtId="0" fontId="8" fillId="2" borderId="0" xfId="0" applyNumberFormat="1" applyFont="1" applyFill="1"/>
    <xf numFmtId="0" fontId="8" fillId="2" borderId="0" xfId="0" applyNumberFormat="1" applyFont="1" applyFill="1" applyBorder="1"/>
    <xf numFmtId="0" fontId="0" fillId="4" borderId="0" xfId="0" applyNumberFormat="1" applyFill="1"/>
    <xf numFmtId="0" fontId="0" fillId="2" borderId="0" xfId="0" applyNumberFormat="1" applyFill="1"/>
    <xf numFmtId="0" fontId="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4" fillId="2" borderId="0" xfId="0" applyFont="1" applyFill="1"/>
    <xf numFmtId="0" fontId="16" fillId="2" borderId="1" xfId="0" applyFont="1" applyFill="1" applyBorder="1" applyAlignment="1">
      <alignment horizontal="center"/>
    </xf>
    <xf numFmtId="0" fontId="0" fillId="2" borderId="0" xfId="0" applyFont="1" applyFill="1" applyAlignment="1">
      <alignment wrapText="1"/>
    </xf>
    <xf numFmtId="0" fontId="12" fillId="2" borderId="7" xfId="0" applyFont="1" applyFill="1" applyBorder="1"/>
    <xf numFmtId="0" fontId="12" fillId="2" borderId="7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NumberFormat="1" applyFont="1" applyFill="1" applyBorder="1"/>
    <xf numFmtId="49" fontId="2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/>
    <xf numFmtId="49" fontId="2" fillId="2" borderId="1" xfId="0" applyNumberFormat="1" applyFont="1" applyFill="1" applyBorder="1" applyAlignment="1" applyProtection="1">
      <alignment wrapText="1"/>
    </xf>
    <xf numFmtId="2" fontId="2" fillId="2" borderId="1" xfId="0" applyNumberFormat="1" applyFont="1" applyFill="1" applyBorder="1" applyAlignment="1" applyProtection="1">
      <alignment horizontal="right" vertical="center"/>
    </xf>
    <xf numFmtId="0" fontId="19" fillId="2" borderId="0" xfId="0" applyFont="1" applyFill="1" applyAlignment="1" applyProtection="1">
      <alignment wrapText="1"/>
    </xf>
    <xf numFmtId="0" fontId="13" fillId="2" borderId="0" xfId="0" applyFont="1" applyFill="1" applyAlignment="1" applyProtection="1">
      <alignment wrapText="1"/>
    </xf>
    <xf numFmtId="2" fontId="2" fillId="2" borderId="1" xfId="0" applyNumberFormat="1" applyFont="1" applyFill="1" applyBorder="1" applyAlignment="1" applyProtection="1">
      <alignment horizontal="right"/>
    </xf>
    <xf numFmtId="2" fontId="2" fillId="2" borderId="1" xfId="0" applyNumberFormat="1" applyFont="1" applyFill="1" applyBorder="1" applyProtection="1"/>
    <xf numFmtId="0" fontId="25" fillId="2" borderId="0" xfId="0" applyFont="1" applyFill="1" applyProtection="1"/>
    <xf numFmtId="0" fontId="26" fillId="2" borderId="0" xfId="0" applyFont="1" applyFill="1" applyProtection="1"/>
    <xf numFmtId="14" fontId="2" fillId="2" borderId="1" xfId="0" applyNumberFormat="1" applyFont="1" applyFill="1" applyBorder="1" applyAlignment="1">
      <alignment wrapText="1"/>
    </xf>
    <xf numFmtId="2" fontId="2" fillId="2" borderId="1" xfId="0" applyNumberFormat="1" applyFont="1" applyFill="1" applyBorder="1" applyAlignment="1" applyProtection="1">
      <alignment horizontal="right" wrapText="1"/>
    </xf>
    <xf numFmtId="0" fontId="25" fillId="2" borderId="0" xfId="0" applyFont="1" applyFill="1"/>
    <xf numFmtId="0" fontId="26" fillId="2" borderId="0" xfId="0" applyFont="1" applyFill="1"/>
    <xf numFmtId="0" fontId="30" fillId="2" borderId="0" xfId="0" applyFont="1" applyFill="1"/>
    <xf numFmtId="0" fontId="31" fillId="2" borderId="0" xfId="0" applyFont="1" applyFill="1"/>
    <xf numFmtId="0" fontId="2" fillId="2" borderId="2" xfId="0" applyFont="1" applyFill="1" applyBorder="1"/>
    <xf numFmtId="49" fontId="2" fillId="2" borderId="2" xfId="0" applyNumberFormat="1" applyFont="1" applyFill="1" applyBorder="1"/>
    <xf numFmtId="0" fontId="28" fillId="2" borderId="0" xfId="0" applyFont="1" applyFill="1"/>
    <xf numFmtId="0" fontId="29" fillId="2" borderId="0" xfId="0" applyFont="1" applyFill="1"/>
    <xf numFmtId="0" fontId="15" fillId="2" borderId="2" xfId="0" applyFont="1" applyFill="1" applyBorder="1" applyAlignment="1">
      <alignment wrapText="1"/>
    </xf>
    <xf numFmtId="2" fontId="15" fillId="2" borderId="2" xfId="0" applyNumberFormat="1" applyFont="1" applyFill="1" applyBorder="1" applyAlignment="1">
      <alignment wrapText="1"/>
    </xf>
    <xf numFmtId="0" fontId="9" fillId="2" borderId="13" xfId="0" applyFont="1" applyFill="1" applyBorder="1" applyAlignment="1">
      <alignment horizontal="center"/>
    </xf>
    <xf numFmtId="2" fontId="0" fillId="2" borderId="8" xfId="0" applyNumberFormat="1" applyFont="1" applyFill="1" applyBorder="1" applyAlignment="1">
      <alignment horizontal="center"/>
    </xf>
    <xf numFmtId="1" fontId="9" fillId="2" borderId="8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/>
    <xf numFmtId="1" fontId="6" fillId="2" borderId="1" xfId="0" applyNumberFormat="1" applyFont="1" applyFill="1" applyBorder="1"/>
    <xf numFmtId="0" fontId="6" fillId="0" borderId="0" xfId="0" applyFont="1" applyBorder="1"/>
    <xf numFmtId="0" fontId="6" fillId="0" borderId="0" xfId="0" applyFont="1"/>
    <xf numFmtId="0" fontId="6" fillId="6" borderId="1" xfId="0" applyFont="1" applyFill="1" applyBorder="1"/>
    <xf numFmtId="0" fontId="6" fillId="6" borderId="1" xfId="0" applyFont="1" applyFill="1" applyBorder="1" applyAlignment="1">
      <alignment wrapText="1"/>
    </xf>
    <xf numFmtId="1" fontId="6" fillId="6" borderId="1" xfId="0" applyNumberFormat="1" applyFont="1" applyFill="1" applyBorder="1"/>
    <xf numFmtId="0" fontId="6" fillId="6" borderId="0" xfId="0" applyFont="1" applyFill="1" applyBorder="1"/>
    <xf numFmtId="0" fontId="6" fillId="6" borderId="0" xfId="0" applyFont="1" applyFill="1"/>
    <xf numFmtId="0" fontId="3" fillId="6" borderId="1" xfId="0" applyFont="1" applyFill="1" applyBorder="1"/>
    <xf numFmtId="1" fontId="3" fillId="6" borderId="1" xfId="0" applyNumberFormat="1" applyFont="1" applyFill="1" applyBorder="1"/>
    <xf numFmtId="0" fontId="0" fillId="6" borderId="0" xfId="0" applyFill="1" applyBorder="1"/>
    <xf numFmtId="0" fontId="0" fillId="6" borderId="0" xfId="0" applyFill="1"/>
    <xf numFmtId="0" fontId="16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4" xfId="0" applyFont="1" applyFill="1" applyBorder="1"/>
    <xf numFmtId="0" fontId="12" fillId="2" borderId="2" xfId="0" applyNumberFormat="1" applyFont="1" applyFill="1" applyBorder="1" applyAlignment="1">
      <alignment horizontal="center" wrapText="1"/>
    </xf>
    <xf numFmtId="0" fontId="16" fillId="2" borderId="33" xfId="0" applyFont="1" applyFill="1" applyBorder="1" applyAlignment="1">
      <alignment horizontal="center" textRotation="90" wrapText="1"/>
    </xf>
    <xf numFmtId="0" fontId="16" fillId="2" borderId="33" xfId="0" applyFont="1" applyFill="1" applyBorder="1" applyAlignment="1">
      <alignment horizontal="center" wrapText="1"/>
    </xf>
    <xf numFmtId="0" fontId="16" fillId="2" borderId="33" xfId="0" applyNumberFormat="1" applyFont="1" applyFill="1" applyBorder="1" applyAlignment="1">
      <alignment wrapText="1"/>
    </xf>
    <xf numFmtId="0" fontId="16" fillId="2" borderId="33" xfId="0" applyNumberFormat="1" applyFont="1" applyFill="1" applyBorder="1" applyAlignment="1">
      <alignment horizontal="center" wrapText="1"/>
    </xf>
    <xf numFmtId="0" fontId="16" fillId="2" borderId="28" xfId="0" applyFont="1" applyFill="1" applyBorder="1" applyAlignment="1">
      <alignment horizontal="center" textRotation="90" wrapText="1"/>
    </xf>
    <xf numFmtId="0" fontId="0" fillId="7" borderId="1" xfId="0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0" xfId="0" applyFont="1" applyFill="1" applyAlignment="1">
      <alignment wrapText="1"/>
    </xf>
    <xf numFmtId="0" fontId="16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textRotation="90" wrapText="1"/>
    </xf>
    <xf numFmtId="0" fontId="16" fillId="2" borderId="33" xfId="0" applyFont="1" applyFill="1" applyBorder="1" applyAlignment="1">
      <alignment horizontal="center" textRotation="90" wrapText="1"/>
    </xf>
    <xf numFmtId="0" fontId="16" fillId="2" borderId="33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16" fillId="2" borderId="28" xfId="0" applyFont="1" applyFill="1" applyBorder="1" applyAlignment="1">
      <alignment horizontal="center" textRotation="90" wrapText="1"/>
    </xf>
    <xf numFmtId="0" fontId="16" fillId="2" borderId="29" xfId="0" applyFont="1" applyFill="1" applyBorder="1" applyAlignment="1">
      <alignment horizontal="center" textRotation="90" wrapText="1"/>
    </xf>
    <xf numFmtId="0" fontId="16" fillId="2" borderId="31" xfId="0" applyFont="1" applyFill="1" applyBorder="1" applyAlignment="1">
      <alignment horizontal="center" textRotation="90" wrapText="1"/>
    </xf>
    <xf numFmtId="0" fontId="16" fillId="2" borderId="34" xfId="0" applyFont="1" applyFill="1" applyBorder="1" applyAlignment="1">
      <alignment horizontal="center" textRotation="90" wrapText="1"/>
    </xf>
    <xf numFmtId="0" fontId="16" fillId="2" borderId="28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textRotation="90" wrapText="1"/>
    </xf>
    <xf numFmtId="0" fontId="12" fillId="2" borderId="33" xfId="0" applyFont="1" applyFill="1" applyBorder="1" applyAlignment="1">
      <alignment horizontal="center" textRotation="90" wrapText="1"/>
    </xf>
    <xf numFmtId="0" fontId="16" fillId="2" borderId="28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textRotation="90"/>
    </xf>
    <xf numFmtId="0" fontId="12" fillId="2" borderId="33" xfId="0" applyFont="1" applyFill="1" applyBorder="1" applyAlignment="1">
      <alignment horizontal="center" textRotation="90"/>
    </xf>
    <xf numFmtId="0" fontId="16" fillId="2" borderId="27" xfId="0" applyFont="1" applyFill="1" applyBorder="1" applyAlignment="1">
      <alignment horizontal="center" wrapText="1"/>
    </xf>
    <xf numFmtId="0" fontId="16" fillId="2" borderId="30" xfId="0" applyFont="1" applyFill="1" applyBorder="1" applyAlignment="1">
      <alignment horizontal="center" wrapText="1"/>
    </xf>
    <xf numFmtId="0" fontId="16" fillId="2" borderId="32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16" fillId="2" borderId="9" xfId="0" applyFont="1" applyFill="1" applyBorder="1" applyAlignment="1">
      <alignment horizontal="center" wrapText="1"/>
    </xf>
    <xf numFmtId="0" fontId="16" fillId="2" borderId="1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2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6" fillId="2" borderId="7" xfId="0" applyFont="1" applyFill="1" applyBorder="1" applyAlignment="1">
      <alignment horizontal="center" textRotation="90" wrapText="1"/>
    </xf>
    <xf numFmtId="0" fontId="0" fillId="0" borderId="35" xfId="0" applyBorder="1" applyAlignment="1">
      <alignment horizontal="center" textRotation="90" wrapText="1"/>
    </xf>
    <xf numFmtId="0" fontId="4" fillId="2" borderId="0" xfId="0" applyNumberFormat="1" applyFont="1" applyFill="1" applyAlignment="1">
      <alignment wrapText="1"/>
    </xf>
    <xf numFmtId="0" fontId="20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 wrapText="1"/>
    </xf>
    <xf numFmtId="0" fontId="20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0" fillId="2" borderId="9" xfId="0" applyFont="1" applyFill="1" applyBorder="1" applyAlignment="1">
      <alignment horizontal="center" wrapText="1"/>
    </xf>
    <xf numFmtId="0" fontId="20" fillId="2" borderId="10" xfId="0" applyFont="1" applyFill="1" applyBorder="1" applyAlignment="1">
      <alignment horizontal="center" wrapText="1"/>
    </xf>
    <xf numFmtId="0" fontId="20" fillId="2" borderId="21" xfId="0" applyFont="1" applyFill="1" applyBorder="1" applyAlignment="1">
      <alignment horizontal="center" wrapText="1"/>
    </xf>
    <xf numFmtId="0" fontId="20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horizontal="center" wrapText="1"/>
    </xf>
    <xf numFmtId="0" fontId="9" fillId="2" borderId="0" xfId="0" applyFont="1" applyFill="1" applyAlignment="1">
      <alignment wrapText="1"/>
    </xf>
    <xf numFmtId="0" fontId="9" fillId="2" borderId="5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 wrapText="1"/>
    </xf>
    <xf numFmtId="0" fontId="0" fillId="2" borderId="21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 vertical="top" wrapText="1"/>
    </xf>
    <xf numFmtId="0" fontId="9" fillId="2" borderId="21" xfId="0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top" wrapText="1"/>
    </xf>
    <xf numFmtId="0" fontId="32" fillId="2" borderId="7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center" vertical="top" wrapText="1"/>
    </xf>
    <xf numFmtId="9" fontId="32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0" fillId="2" borderId="4" xfId="0" applyFont="1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9" fontId="0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9" fillId="0" borderId="9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9" fillId="0" borderId="22" xfId="0" applyFont="1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11" fillId="0" borderId="15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25" fillId="2" borderId="3" xfId="0" applyFont="1" applyFill="1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BS44"/>
  <sheetViews>
    <sheetView topLeftCell="A26" workbookViewId="0">
      <selection activeCell="AT5" sqref="AT5:AT7"/>
    </sheetView>
  </sheetViews>
  <sheetFormatPr defaultColWidth="9.140625" defaultRowHeight="12.75"/>
  <cols>
    <col min="1" max="1" width="5.7109375" style="57" customWidth="1"/>
    <col min="2" max="2" width="9.5703125" style="57" customWidth="1"/>
    <col min="3" max="4" width="11.28515625" style="57" customWidth="1"/>
    <col min="5" max="5" width="8.42578125" style="57" customWidth="1"/>
    <col min="6" max="6" width="6.5703125" style="57" hidden="1" customWidth="1"/>
    <col min="7" max="7" width="9.140625" style="57" hidden="1" customWidth="1"/>
    <col min="8" max="8" width="8" style="57" hidden="1" customWidth="1"/>
    <col min="9" max="9" width="9" style="57" hidden="1" customWidth="1"/>
    <col min="10" max="10" width="6.85546875" style="57" customWidth="1"/>
    <col min="11" max="12" width="6" style="57" customWidth="1"/>
    <col min="13" max="13" width="8.42578125" style="57" customWidth="1"/>
    <col min="14" max="15" width="6" style="57" customWidth="1"/>
    <col min="16" max="16" width="7.5703125" style="57" customWidth="1"/>
    <col min="17" max="17" width="7.85546875" style="57" customWidth="1"/>
    <col min="18" max="18" width="8.42578125" style="57" customWidth="1"/>
    <col min="19" max="19" width="8.5703125" style="57" customWidth="1"/>
    <col min="20" max="20" width="9.28515625" style="57" customWidth="1"/>
    <col min="21" max="21" width="10.7109375" style="57" customWidth="1"/>
    <col min="22" max="22" width="6.5703125" style="57" hidden="1" customWidth="1"/>
    <col min="23" max="23" width="5.42578125" style="57" hidden="1" customWidth="1"/>
    <col min="24" max="24" width="7.7109375" style="57" hidden="1" customWidth="1"/>
    <col min="25" max="25" width="6.5703125" style="57" hidden="1" customWidth="1"/>
    <col min="26" max="26" width="6" style="57" hidden="1" customWidth="1"/>
    <col min="27" max="27" width="8.85546875" style="57" hidden="1" customWidth="1"/>
    <col min="28" max="28" width="5.42578125" style="57" hidden="1" customWidth="1"/>
    <col min="29" max="29" width="4.42578125" style="57" hidden="1" customWidth="1"/>
    <col min="30" max="30" width="7" style="57" hidden="1" customWidth="1"/>
    <col min="31" max="31" width="7" style="58" hidden="1" customWidth="1"/>
    <col min="32" max="32" width="6.28515625" style="58" hidden="1" customWidth="1"/>
    <col min="33" max="33" width="8.85546875" style="58" hidden="1" customWidth="1"/>
    <col min="34" max="34" width="6.5703125" style="57" hidden="1" customWidth="1"/>
    <col min="35" max="35" width="6.85546875" style="57" hidden="1" customWidth="1"/>
    <col min="36" max="36" width="9.7109375" style="57" hidden="1" customWidth="1"/>
    <col min="37" max="37" width="6.85546875" style="57" hidden="1" customWidth="1"/>
    <col min="38" max="38" width="6.5703125" style="57" hidden="1" customWidth="1"/>
    <col min="39" max="39" width="9.85546875" style="57" hidden="1" customWidth="1"/>
    <col min="40" max="40" width="6" style="57" hidden="1" customWidth="1"/>
    <col min="41" max="41" width="5.42578125" style="57" hidden="1" customWidth="1"/>
    <col min="42" max="42" width="11.140625" style="57" hidden="1" customWidth="1"/>
    <col min="43" max="43" width="7.7109375" style="57" hidden="1" customWidth="1"/>
    <col min="44" max="44" width="9.85546875" style="57" hidden="1" customWidth="1"/>
    <col min="45" max="45" width="11.42578125" style="57" customWidth="1"/>
    <col min="46" max="46" width="11.5703125" style="57" customWidth="1"/>
    <col min="47" max="47" width="11.28515625" style="57" hidden="1" customWidth="1"/>
    <col min="48" max="48" width="13.28515625" style="57" hidden="1" customWidth="1"/>
    <col min="49" max="50" width="9.42578125" style="57" bestFit="1" customWidth="1"/>
    <col min="51" max="71" width="9.140625" style="57"/>
    <col min="72" max="16384" width="9.140625" style="1"/>
  </cols>
  <sheetData>
    <row r="1" spans="1:49" ht="17.25" customHeight="1">
      <c r="A1" s="6"/>
      <c r="B1" s="328" t="s">
        <v>335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134"/>
      <c r="S1" s="134"/>
      <c r="T1" s="6"/>
      <c r="U1" s="6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6"/>
      <c r="AU1" s="6"/>
      <c r="AV1" s="6"/>
    </row>
    <row r="2" spans="1:49" ht="17.25" customHeight="1">
      <c r="A2" s="6"/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134"/>
      <c r="S2" s="134"/>
      <c r="T2" s="6"/>
      <c r="U2" s="6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6"/>
      <c r="AU2" s="6"/>
      <c r="AV2" s="6"/>
    </row>
    <row r="3" spans="1:49" ht="50.25" customHeight="1">
      <c r="A3" s="6"/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134"/>
      <c r="S3" s="134"/>
      <c r="T3" s="6"/>
      <c r="U3" s="6"/>
      <c r="V3" s="135"/>
      <c r="W3" s="6"/>
      <c r="X3" s="6"/>
      <c r="Y3" s="13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9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137"/>
      <c r="W4" s="137"/>
      <c r="X4" s="137"/>
      <c r="Y4" s="137"/>
      <c r="Z4" s="137"/>
      <c r="AA4" s="137"/>
      <c r="AB4" s="137"/>
      <c r="AC4" s="136"/>
      <c r="AD4" s="6"/>
      <c r="AE4" s="6"/>
      <c r="AF4" s="135"/>
      <c r="AG4" s="6"/>
      <c r="AH4" s="6"/>
      <c r="AI4" s="135"/>
      <c r="AJ4" s="6"/>
      <c r="AK4" s="6"/>
      <c r="AL4" s="135"/>
      <c r="AM4" s="6"/>
      <c r="AN4" s="6"/>
      <c r="AO4" s="135"/>
      <c r="AP4" s="6"/>
      <c r="AQ4" s="135"/>
      <c r="AR4" s="6"/>
      <c r="AS4" s="6"/>
      <c r="AT4" s="6"/>
      <c r="AU4" s="6"/>
      <c r="AV4" s="6"/>
    </row>
    <row r="5" spans="1:49" s="57" customFormat="1" ht="35.25" hidden="1" customHeight="1">
      <c r="A5" s="351" t="s">
        <v>0</v>
      </c>
      <c r="B5" s="341" t="s">
        <v>246</v>
      </c>
      <c r="C5" s="341" t="s">
        <v>247</v>
      </c>
      <c r="D5" s="325"/>
      <c r="E5" s="345" t="s">
        <v>43</v>
      </c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8" t="s">
        <v>42</v>
      </c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348"/>
      <c r="AQ5" s="348"/>
      <c r="AR5" s="348"/>
      <c r="AS5" s="341" t="s">
        <v>351</v>
      </c>
      <c r="AT5" s="342" t="s">
        <v>19</v>
      </c>
      <c r="AU5" s="335" t="s">
        <v>207</v>
      </c>
      <c r="AV5" s="338" t="s">
        <v>209</v>
      </c>
      <c r="AW5" s="6"/>
    </row>
    <row r="6" spans="1:49" s="15" customFormat="1" ht="86.25" customHeight="1">
      <c r="A6" s="352"/>
      <c r="B6" s="332"/>
      <c r="C6" s="332"/>
      <c r="D6" s="362" t="s">
        <v>350</v>
      </c>
      <c r="E6" s="332" t="s">
        <v>24</v>
      </c>
      <c r="F6" s="331" t="s">
        <v>2</v>
      </c>
      <c r="G6" s="331" t="s">
        <v>3</v>
      </c>
      <c r="H6" s="332" t="s">
        <v>10</v>
      </c>
      <c r="I6" s="332" t="s">
        <v>11</v>
      </c>
      <c r="J6" s="355" t="s">
        <v>348</v>
      </c>
      <c r="K6" s="356"/>
      <c r="L6" s="357"/>
      <c r="M6" s="349" t="s">
        <v>18</v>
      </c>
      <c r="N6" s="331" t="s">
        <v>347</v>
      </c>
      <c r="O6" s="331"/>
      <c r="P6" s="331"/>
      <c r="Q6" s="349" t="s">
        <v>17</v>
      </c>
      <c r="R6" s="331" t="s">
        <v>349</v>
      </c>
      <c r="S6" s="331"/>
      <c r="T6" s="331"/>
      <c r="U6" s="346" t="s">
        <v>16</v>
      </c>
      <c r="V6" s="331" t="s">
        <v>34</v>
      </c>
      <c r="W6" s="331"/>
      <c r="X6" s="331"/>
      <c r="Y6" s="331" t="s">
        <v>33</v>
      </c>
      <c r="Z6" s="331"/>
      <c r="AA6" s="331"/>
      <c r="AB6" s="330" t="s">
        <v>23</v>
      </c>
      <c r="AC6" s="330"/>
      <c r="AD6" s="330"/>
      <c r="AE6" s="331" t="s">
        <v>22</v>
      </c>
      <c r="AF6" s="331"/>
      <c r="AG6" s="331"/>
      <c r="AH6" s="331" t="s">
        <v>13</v>
      </c>
      <c r="AI6" s="331"/>
      <c r="AJ6" s="331"/>
      <c r="AK6" s="331" t="s">
        <v>14</v>
      </c>
      <c r="AL6" s="331"/>
      <c r="AM6" s="331"/>
      <c r="AN6" s="331" t="s">
        <v>346</v>
      </c>
      <c r="AO6" s="331"/>
      <c r="AP6" s="331"/>
      <c r="AQ6" s="331" t="s">
        <v>289</v>
      </c>
      <c r="AR6" s="331"/>
      <c r="AS6" s="332"/>
      <c r="AT6" s="343"/>
      <c r="AU6" s="336"/>
      <c r="AV6" s="339"/>
    </row>
    <row r="7" spans="1:49" s="34" customFormat="1" ht="72.75" customHeight="1" thickBot="1">
      <c r="A7" s="353"/>
      <c r="B7" s="333"/>
      <c r="C7" s="333"/>
      <c r="D7" s="363"/>
      <c r="E7" s="333"/>
      <c r="F7" s="334"/>
      <c r="G7" s="334"/>
      <c r="H7" s="333"/>
      <c r="I7" s="333"/>
      <c r="J7" s="321" t="s">
        <v>4</v>
      </c>
      <c r="K7" s="321" t="s">
        <v>5</v>
      </c>
      <c r="L7" s="321" t="s">
        <v>6</v>
      </c>
      <c r="M7" s="350"/>
      <c r="N7" s="321" t="s">
        <v>4</v>
      </c>
      <c r="O7" s="321" t="s">
        <v>5</v>
      </c>
      <c r="P7" s="321" t="s">
        <v>6</v>
      </c>
      <c r="Q7" s="350"/>
      <c r="R7" s="321" t="s">
        <v>4</v>
      </c>
      <c r="S7" s="321" t="s">
        <v>5</v>
      </c>
      <c r="T7" s="321" t="s">
        <v>6</v>
      </c>
      <c r="U7" s="347"/>
      <c r="V7" s="322" t="s">
        <v>7</v>
      </c>
      <c r="W7" s="322" t="s">
        <v>8</v>
      </c>
      <c r="X7" s="322" t="s">
        <v>9</v>
      </c>
      <c r="Y7" s="322" t="s">
        <v>7</v>
      </c>
      <c r="Z7" s="322" t="s">
        <v>8</v>
      </c>
      <c r="AA7" s="322" t="s">
        <v>9</v>
      </c>
      <c r="AB7" s="322" t="s">
        <v>39</v>
      </c>
      <c r="AC7" s="323" t="s">
        <v>8</v>
      </c>
      <c r="AD7" s="322" t="s">
        <v>12</v>
      </c>
      <c r="AE7" s="322" t="s">
        <v>39</v>
      </c>
      <c r="AF7" s="324" t="s">
        <v>8</v>
      </c>
      <c r="AG7" s="322" t="s">
        <v>9</v>
      </c>
      <c r="AH7" s="322" t="s">
        <v>39</v>
      </c>
      <c r="AI7" s="324" t="s">
        <v>8</v>
      </c>
      <c r="AJ7" s="322" t="s">
        <v>12</v>
      </c>
      <c r="AK7" s="322" t="s">
        <v>39</v>
      </c>
      <c r="AL7" s="324" t="s">
        <v>8</v>
      </c>
      <c r="AM7" s="322" t="s">
        <v>12</v>
      </c>
      <c r="AN7" s="322" t="s">
        <v>39</v>
      </c>
      <c r="AO7" s="324" t="s">
        <v>8</v>
      </c>
      <c r="AP7" s="322" t="s">
        <v>12</v>
      </c>
      <c r="AQ7" s="324" t="s">
        <v>39</v>
      </c>
      <c r="AR7" s="322" t="s">
        <v>12</v>
      </c>
      <c r="AS7" s="333"/>
      <c r="AT7" s="344"/>
      <c r="AU7" s="337"/>
      <c r="AV7" s="340"/>
    </row>
    <row r="8" spans="1:49" s="35" customFormat="1" ht="14.45" customHeight="1">
      <c r="A8" s="60"/>
      <c r="B8" s="60"/>
      <c r="C8" s="60">
        <v>8</v>
      </c>
      <c r="D8" s="60"/>
      <c r="E8" s="60">
        <v>9</v>
      </c>
      <c r="F8" s="60">
        <v>10</v>
      </c>
      <c r="G8" s="60">
        <v>11</v>
      </c>
      <c r="H8" s="60">
        <v>12</v>
      </c>
      <c r="I8" s="60">
        <v>13</v>
      </c>
      <c r="J8" s="60">
        <v>14</v>
      </c>
      <c r="K8" s="60">
        <v>15</v>
      </c>
      <c r="L8" s="60">
        <v>16</v>
      </c>
      <c r="M8" s="138" t="s">
        <v>38</v>
      </c>
      <c r="N8" s="60">
        <v>18</v>
      </c>
      <c r="O8" s="60">
        <v>19</v>
      </c>
      <c r="P8" s="60">
        <v>20</v>
      </c>
      <c r="Q8" s="63">
        <v>21</v>
      </c>
      <c r="R8" s="60">
        <v>22</v>
      </c>
      <c r="S8" s="60">
        <v>23</v>
      </c>
      <c r="T8" s="60">
        <v>24</v>
      </c>
      <c r="U8" s="60">
        <v>25</v>
      </c>
      <c r="V8" s="60">
        <v>26</v>
      </c>
      <c r="W8" s="60">
        <v>27</v>
      </c>
      <c r="X8" s="60">
        <v>28</v>
      </c>
      <c r="Y8" s="60">
        <v>29</v>
      </c>
      <c r="Z8" s="60">
        <v>30</v>
      </c>
      <c r="AA8" s="60">
        <v>31</v>
      </c>
      <c r="AB8" s="60">
        <v>32</v>
      </c>
      <c r="AC8" s="320">
        <v>33</v>
      </c>
      <c r="AD8" s="60">
        <v>34</v>
      </c>
      <c r="AE8" s="60">
        <v>35</v>
      </c>
      <c r="AF8" s="320">
        <v>36</v>
      </c>
      <c r="AG8" s="60">
        <v>37</v>
      </c>
      <c r="AH8" s="60">
        <v>38</v>
      </c>
      <c r="AI8" s="320">
        <v>39</v>
      </c>
      <c r="AJ8" s="60">
        <v>40</v>
      </c>
      <c r="AK8" s="60">
        <v>41</v>
      </c>
      <c r="AL8" s="320">
        <v>42</v>
      </c>
      <c r="AM8" s="60">
        <v>43</v>
      </c>
      <c r="AN8" s="60">
        <v>44</v>
      </c>
      <c r="AO8" s="320">
        <v>45</v>
      </c>
      <c r="AP8" s="60">
        <v>46</v>
      </c>
      <c r="AQ8" s="320">
        <v>47</v>
      </c>
      <c r="AR8" s="60">
        <v>48</v>
      </c>
      <c r="AS8" s="60">
        <v>49</v>
      </c>
      <c r="AT8" s="60">
        <v>50</v>
      </c>
      <c r="AU8" s="254"/>
      <c r="AV8" s="254"/>
      <c r="AW8" s="137"/>
    </row>
    <row r="9" spans="1:49" s="268" customFormat="1" ht="29.25" customHeight="1">
      <c r="A9" s="230">
        <v>1</v>
      </c>
      <c r="B9" s="270" t="s">
        <v>248</v>
      </c>
      <c r="C9" s="271">
        <v>2</v>
      </c>
      <c r="D9" s="271"/>
      <c r="E9" s="270">
        <v>5.2</v>
      </c>
      <c r="F9" s="230">
        <v>17697</v>
      </c>
      <c r="G9" s="231">
        <f t="shared" ref="G9:G32" si="0">F9*E9</f>
        <v>92024.400000000009</v>
      </c>
      <c r="H9" s="231">
        <f t="shared" ref="H9:H32" si="1">G9*25/100</f>
        <v>23006.1</v>
      </c>
      <c r="I9" s="231">
        <f t="shared" ref="I9:I32" si="2">G9+H9</f>
        <v>115030.5</v>
      </c>
      <c r="J9" s="269"/>
      <c r="K9" s="269">
        <v>12</v>
      </c>
      <c r="L9" s="269">
        <v>6</v>
      </c>
      <c r="M9" s="230">
        <f t="shared" ref="M9:M32" si="3">J9+K9+L9</f>
        <v>18</v>
      </c>
      <c r="N9" s="232">
        <f t="shared" ref="N9:N32" si="4">J9/18</f>
        <v>0</v>
      </c>
      <c r="O9" s="233">
        <f t="shared" ref="O9:O32" si="5">K9/18</f>
        <v>0.66666666666666663</v>
      </c>
      <c r="P9" s="232">
        <f t="shared" ref="P9:P32" si="6">L9/18</f>
        <v>0.33333333333333331</v>
      </c>
      <c r="Q9" s="232">
        <f t="shared" ref="Q9:Q32" si="7">SUM(N9:P9)</f>
        <v>1</v>
      </c>
      <c r="R9" s="234">
        <f t="shared" ref="R9:R32" si="8">I9*N9</f>
        <v>0</v>
      </c>
      <c r="S9" s="231">
        <f t="shared" ref="S9:S32" si="9">I9*O9</f>
        <v>76687</v>
      </c>
      <c r="T9" s="231">
        <f t="shared" ref="T9:T32" si="10">I9*P9</f>
        <v>38343.5</v>
      </c>
      <c r="U9" s="231">
        <f t="shared" ref="U9:U32" si="11">R9+S9+T9</f>
        <v>115030.5</v>
      </c>
      <c r="V9" s="269"/>
      <c r="W9" s="269"/>
      <c r="X9" s="231"/>
      <c r="Y9" s="269">
        <v>11</v>
      </c>
      <c r="Z9" s="269">
        <v>25</v>
      </c>
      <c r="AA9" s="231">
        <f>((F9/18)*Y9)*Z9/100</f>
        <v>2703.708333333333</v>
      </c>
      <c r="AB9" s="232"/>
      <c r="AC9" s="269"/>
      <c r="AD9" s="231">
        <f t="shared" ref="AD9:AD32" si="12">13613*AB9*AC9/100</f>
        <v>0</v>
      </c>
      <c r="AE9" s="232">
        <v>1</v>
      </c>
      <c r="AF9" s="269">
        <v>20</v>
      </c>
      <c r="AG9" s="231">
        <f>F9*AE9*AF9/100</f>
        <v>3539.4</v>
      </c>
      <c r="AH9" s="232"/>
      <c r="AI9" s="269"/>
      <c r="AJ9" s="231">
        <f>13613*AH9*AI9/100</f>
        <v>0</v>
      </c>
      <c r="AK9" s="232">
        <f t="shared" ref="AK9:AK32" si="13">Q9</f>
        <v>1</v>
      </c>
      <c r="AL9" s="187">
        <v>40</v>
      </c>
      <c r="AM9" s="231">
        <f t="shared" ref="AM9:AM32" si="14">F9*AK9*AL9/100</f>
        <v>7078.8</v>
      </c>
      <c r="AN9" s="231"/>
      <c r="AO9" s="269"/>
      <c r="AP9" s="231">
        <f>U9*30%</f>
        <v>34509.15</v>
      </c>
      <c r="AQ9" s="269"/>
      <c r="AR9" s="231">
        <v>40261</v>
      </c>
      <c r="AS9" s="231">
        <f t="shared" ref="AS9:AS32" si="15">AR9+AP9+AM9+AJ9+AG9+AD9+AA9+X9+AU9</f>
        <v>99595.108333333323</v>
      </c>
      <c r="AT9" s="231">
        <f>AS9+U9</f>
        <v>214625.60833333334</v>
      </c>
      <c r="AU9" s="235">
        <f t="shared" ref="AU9:AU32" si="16">U9*10%</f>
        <v>11503.050000000001</v>
      </c>
      <c r="AV9" s="8"/>
    </row>
    <row r="10" spans="1:49" s="132" customFormat="1" ht="30" customHeight="1">
      <c r="A10" s="188">
        <v>2</v>
      </c>
      <c r="B10" s="236" t="s">
        <v>248</v>
      </c>
      <c r="C10" s="237">
        <v>3</v>
      </c>
      <c r="D10" s="237"/>
      <c r="E10" s="236">
        <v>5.08</v>
      </c>
      <c r="F10" s="188">
        <v>17697</v>
      </c>
      <c r="G10" s="231">
        <f t="shared" si="0"/>
        <v>89900.76</v>
      </c>
      <c r="H10" s="231">
        <f t="shared" si="1"/>
        <v>22475.19</v>
      </c>
      <c r="I10" s="231">
        <f t="shared" si="2"/>
        <v>112375.95</v>
      </c>
      <c r="J10" s="187"/>
      <c r="K10" s="187">
        <v>3</v>
      </c>
      <c r="L10" s="187">
        <v>2</v>
      </c>
      <c r="M10" s="230">
        <f t="shared" si="3"/>
        <v>5</v>
      </c>
      <c r="N10" s="232">
        <f t="shared" si="4"/>
        <v>0</v>
      </c>
      <c r="O10" s="233">
        <f t="shared" si="5"/>
        <v>0.16666666666666666</v>
      </c>
      <c r="P10" s="233">
        <f t="shared" si="6"/>
        <v>0.1111111111111111</v>
      </c>
      <c r="Q10" s="232">
        <f t="shared" si="7"/>
        <v>0.27777777777777779</v>
      </c>
      <c r="R10" s="234">
        <f t="shared" si="8"/>
        <v>0</v>
      </c>
      <c r="S10" s="231">
        <f t="shared" si="9"/>
        <v>18729.324999999997</v>
      </c>
      <c r="T10" s="188">
        <f t="shared" si="10"/>
        <v>12486.216666666665</v>
      </c>
      <c r="U10" s="231">
        <f t="shared" si="11"/>
        <v>31215.541666666664</v>
      </c>
      <c r="V10" s="187"/>
      <c r="W10" s="187"/>
      <c r="X10" s="231"/>
      <c r="Y10" s="187">
        <v>5</v>
      </c>
      <c r="Z10" s="187">
        <v>20</v>
      </c>
      <c r="AA10" s="231">
        <f>((F10/18)*Y10)*Z10/100</f>
        <v>983.16666666666652</v>
      </c>
      <c r="AB10" s="233"/>
      <c r="AC10" s="187"/>
      <c r="AD10" s="238">
        <f t="shared" si="12"/>
        <v>0</v>
      </c>
      <c r="AE10" s="233"/>
      <c r="AF10" s="187"/>
      <c r="AG10" s="231">
        <f>F10*AE10*AF10/100</f>
        <v>0</v>
      </c>
      <c r="AH10" s="233"/>
      <c r="AI10" s="187"/>
      <c r="AJ10" s="231">
        <f>13613*AH10*AI10/100</f>
        <v>0</v>
      </c>
      <c r="AK10" s="232">
        <f t="shared" si="13"/>
        <v>0.27777777777777779</v>
      </c>
      <c r="AL10" s="187">
        <v>40</v>
      </c>
      <c r="AM10" s="231">
        <f t="shared" si="14"/>
        <v>1966.3333333333337</v>
      </c>
      <c r="AN10" s="238"/>
      <c r="AO10" s="187"/>
      <c r="AP10" s="231">
        <f t="shared" ref="AP10:AP32" si="17">U10*30%</f>
        <v>9364.6624999999985</v>
      </c>
      <c r="AQ10" s="187"/>
      <c r="AR10" s="238"/>
      <c r="AS10" s="231">
        <f t="shared" si="15"/>
        <v>15435.716666666665</v>
      </c>
      <c r="AT10" s="231">
        <f t="shared" ref="AT10:AT32" si="18">AS10+U10</f>
        <v>46651.258333333331</v>
      </c>
      <c r="AU10" s="235">
        <f t="shared" si="16"/>
        <v>3121.5541666666668</v>
      </c>
      <c r="AV10" s="8"/>
    </row>
    <row r="11" spans="1:49" s="6" customFormat="1" ht="33" customHeight="1">
      <c r="A11" s="230">
        <v>3</v>
      </c>
      <c r="B11" s="236" t="s">
        <v>248</v>
      </c>
      <c r="C11" s="237">
        <v>3</v>
      </c>
      <c r="D11" s="237"/>
      <c r="E11" s="236">
        <v>4.66</v>
      </c>
      <c r="F11" s="188">
        <v>17697</v>
      </c>
      <c r="G11" s="231">
        <f t="shared" si="0"/>
        <v>82468.02</v>
      </c>
      <c r="H11" s="231">
        <f t="shared" si="1"/>
        <v>20617.005000000001</v>
      </c>
      <c r="I11" s="231">
        <f t="shared" si="2"/>
        <v>103085.02500000001</v>
      </c>
      <c r="J11" s="187">
        <v>6</v>
      </c>
      <c r="K11" s="187">
        <v>12</v>
      </c>
      <c r="L11" s="187">
        <v>3</v>
      </c>
      <c r="M11" s="230">
        <f t="shared" si="3"/>
        <v>21</v>
      </c>
      <c r="N11" s="232">
        <f t="shared" si="4"/>
        <v>0.33333333333333331</v>
      </c>
      <c r="O11" s="233">
        <f t="shared" si="5"/>
        <v>0.66666666666666663</v>
      </c>
      <c r="P11" s="233">
        <f t="shared" si="6"/>
        <v>0.16666666666666666</v>
      </c>
      <c r="Q11" s="232">
        <f t="shared" si="7"/>
        <v>1.1666666666666667</v>
      </c>
      <c r="R11" s="234">
        <f t="shared" si="8"/>
        <v>34361.675000000003</v>
      </c>
      <c r="S11" s="231">
        <f t="shared" si="9"/>
        <v>68723.350000000006</v>
      </c>
      <c r="T11" s="188">
        <f t="shared" si="10"/>
        <v>17180.837500000001</v>
      </c>
      <c r="U11" s="231">
        <f t="shared" si="11"/>
        <v>120265.86250000002</v>
      </c>
      <c r="V11" s="187"/>
      <c r="W11" s="187"/>
      <c r="X11" s="231"/>
      <c r="Y11" s="187"/>
      <c r="Z11" s="187"/>
      <c r="AA11" s="231"/>
      <c r="AB11" s="233"/>
      <c r="AC11" s="187"/>
      <c r="AD11" s="238">
        <f t="shared" si="12"/>
        <v>0</v>
      </c>
      <c r="AE11" s="233"/>
      <c r="AF11" s="187"/>
      <c r="AG11" s="231"/>
      <c r="AH11" s="233">
        <v>0</v>
      </c>
      <c r="AI11" s="187">
        <v>0</v>
      </c>
      <c r="AJ11" s="231">
        <f>F11*AH11*AI11/100</f>
        <v>0</v>
      </c>
      <c r="AK11" s="232">
        <f t="shared" si="13"/>
        <v>1.1666666666666667</v>
      </c>
      <c r="AL11" s="187">
        <v>40</v>
      </c>
      <c r="AM11" s="231">
        <f t="shared" si="14"/>
        <v>8258.6</v>
      </c>
      <c r="AN11" s="238"/>
      <c r="AO11" s="187"/>
      <c r="AP11" s="231">
        <f t="shared" si="17"/>
        <v>36079.758750000001</v>
      </c>
      <c r="AQ11" s="187"/>
      <c r="AR11" s="238"/>
      <c r="AS11" s="231">
        <f t="shared" si="15"/>
        <v>56364.945</v>
      </c>
      <c r="AT11" s="231">
        <f t="shared" si="18"/>
        <v>176630.80750000002</v>
      </c>
      <c r="AU11" s="235">
        <f t="shared" si="16"/>
        <v>12026.586250000002</v>
      </c>
      <c r="AV11" s="8"/>
    </row>
    <row r="12" spans="1:49" s="6" customFormat="1" ht="45.75" customHeight="1">
      <c r="A12" s="230">
        <v>4</v>
      </c>
      <c r="B12" s="236" t="s">
        <v>248</v>
      </c>
      <c r="C12" s="237">
        <v>2</v>
      </c>
      <c r="D12" s="237"/>
      <c r="E12" s="236">
        <v>5.2</v>
      </c>
      <c r="F12" s="188">
        <v>17697</v>
      </c>
      <c r="G12" s="231">
        <f t="shared" si="0"/>
        <v>92024.400000000009</v>
      </c>
      <c r="H12" s="231">
        <f t="shared" si="1"/>
        <v>23006.1</v>
      </c>
      <c r="I12" s="231">
        <f t="shared" si="2"/>
        <v>115030.5</v>
      </c>
      <c r="J12" s="187">
        <v>7</v>
      </c>
      <c r="K12" s="187">
        <v>2</v>
      </c>
      <c r="L12" s="187"/>
      <c r="M12" s="230">
        <f t="shared" si="3"/>
        <v>9</v>
      </c>
      <c r="N12" s="232">
        <f t="shared" si="4"/>
        <v>0.3888888888888889</v>
      </c>
      <c r="O12" s="233">
        <f t="shared" si="5"/>
        <v>0.1111111111111111</v>
      </c>
      <c r="P12" s="233">
        <f t="shared" si="6"/>
        <v>0</v>
      </c>
      <c r="Q12" s="232">
        <f t="shared" si="7"/>
        <v>0.5</v>
      </c>
      <c r="R12" s="234">
        <f t="shared" si="8"/>
        <v>44734.083333333336</v>
      </c>
      <c r="S12" s="231">
        <f t="shared" si="9"/>
        <v>12781.166666666666</v>
      </c>
      <c r="T12" s="188">
        <f t="shared" si="10"/>
        <v>0</v>
      </c>
      <c r="U12" s="231">
        <f t="shared" si="11"/>
        <v>57515.25</v>
      </c>
      <c r="V12" s="187"/>
      <c r="W12" s="187"/>
      <c r="X12" s="231"/>
      <c r="Y12" s="187"/>
      <c r="Z12" s="187"/>
      <c r="AA12" s="231"/>
      <c r="AB12" s="233"/>
      <c r="AC12" s="187"/>
      <c r="AD12" s="238">
        <f t="shared" si="12"/>
        <v>0</v>
      </c>
      <c r="AE12" s="233">
        <v>1</v>
      </c>
      <c r="AF12" s="187">
        <v>20</v>
      </c>
      <c r="AG12" s="231">
        <f>F12*AE12*AF12/100</f>
        <v>3539.4</v>
      </c>
      <c r="AH12" s="233"/>
      <c r="AI12" s="187"/>
      <c r="AJ12" s="231">
        <f>F12*AH12*AI12/100</f>
        <v>0</v>
      </c>
      <c r="AK12" s="232">
        <f t="shared" si="13"/>
        <v>0.5</v>
      </c>
      <c r="AL12" s="187">
        <v>40</v>
      </c>
      <c r="AM12" s="231">
        <f t="shared" si="14"/>
        <v>3539.4</v>
      </c>
      <c r="AN12" s="238"/>
      <c r="AO12" s="187"/>
      <c r="AP12" s="231">
        <f t="shared" si="17"/>
        <v>17254.575000000001</v>
      </c>
      <c r="AQ12" s="187"/>
      <c r="AR12" s="238"/>
      <c r="AS12" s="231">
        <f t="shared" si="15"/>
        <v>30084.900000000005</v>
      </c>
      <c r="AT12" s="231">
        <f t="shared" si="18"/>
        <v>87600.150000000009</v>
      </c>
      <c r="AU12" s="235">
        <f t="shared" si="16"/>
        <v>5751.5250000000005</v>
      </c>
      <c r="AV12" s="8"/>
    </row>
    <row r="13" spans="1:49" s="6" customFormat="1" ht="46.15" customHeight="1">
      <c r="A13" s="188">
        <v>5</v>
      </c>
      <c r="B13" s="236" t="s">
        <v>248</v>
      </c>
      <c r="C13" s="237">
        <v>3</v>
      </c>
      <c r="D13" s="237"/>
      <c r="E13" s="236">
        <v>4.99</v>
      </c>
      <c r="F13" s="188">
        <v>17697</v>
      </c>
      <c r="G13" s="231">
        <f t="shared" si="0"/>
        <v>88308.03</v>
      </c>
      <c r="H13" s="231">
        <f t="shared" si="1"/>
        <v>22077.0075</v>
      </c>
      <c r="I13" s="231">
        <f t="shared" si="2"/>
        <v>110385.03750000001</v>
      </c>
      <c r="J13" s="187">
        <v>20</v>
      </c>
      <c r="K13" s="187"/>
      <c r="L13" s="187"/>
      <c r="M13" s="230">
        <f t="shared" si="3"/>
        <v>20</v>
      </c>
      <c r="N13" s="232">
        <f t="shared" si="4"/>
        <v>1.1111111111111112</v>
      </c>
      <c r="O13" s="233">
        <f t="shared" si="5"/>
        <v>0</v>
      </c>
      <c r="P13" s="233">
        <f t="shared" si="6"/>
        <v>0</v>
      </c>
      <c r="Q13" s="232">
        <f t="shared" si="7"/>
        <v>1.1111111111111112</v>
      </c>
      <c r="R13" s="234">
        <f t="shared" si="8"/>
        <v>122650.04166666667</v>
      </c>
      <c r="S13" s="231">
        <f t="shared" si="9"/>
        <v>0</v>
      </c>
      <c r="T13" s="188">
        <f t="shared" si="10"/>
        <v>0</v>
      </c>
      <c r="U13" s="231">
        <f t="shared" si="11"/>
        <v>122650.04166666667</v>
      </c>
      <c r="V13" s="187">
        <v>8</v>
      </c>
      <c r="W13" s="187">
        <v>20</v>
      </c>
      <c r="X13" s="231">
        <f>((17697/18)*V13)*W13/100</f>
        <v>1573.0666666666666</v>
      </c>
      <c r="Y13" s="187"/>
      <c r="Z13" s="187"/>
      <c r="AA13" s="231"/>
      <c r="AB13" s="233"/>
      <c r="AC13" s="187"/>
      <c r="AD13" s="238">
        <f t="shared" si="12"/>
        <v>0</v>
      </c>
      <c r="AE13" s="233">
        <v>1</v>
      </c>
      <c r="AF13" s="187">
        <v>20</v>
      </c>
      <c r="AG13" s="231">
        <f>F13*AE13*AF13/100</f>
        <v>3539.4</v>
      </c>
      <c r="AH13" s="233"/>
      <c r="AI13" s="187"/>
      <c r="AJ13" s="231">
        <f>F13*AH13*AI13/100</f>
        <v>0</v>
      </c>
      <c r="AK13" s="232">
        <f t="shared" si="13"/>
        <v>1.1111111111111112</v>
      </c>
      <c r="AL13" s="187">
        <v>40</v>
      </c>
      <c r="AM13" s="231">
        <f t="shared" si="14"/>
        <v>7865.3333333333348</v>
      </c>
      <c r="AN13" s="238"/>
      <c r="AO13" s="187"/>
      <c r="AP13" s="231">
        <f t="shared" si="17"/>
        <v>36795.012499999997</v>
      </c>
      <c r="AQ13" s="187"/>
      <c r="AR13" s="238">
        <v>36795</v>
      </c>
      <c r="AS13" s="231">
        <f t="shared" si="15"/>
        <v>98832.816666666651</v>
      </c>
      <c r="AT13" s="231">
        <f t="shared" si="18"/>
        <v>221482.85833333334</v>
      </c>
      <c r="AU13" s="235">
        <f t="shared" si="16"/>
        <v>12265.004166666668</v>
      </c>
      <c r="AV13" s="8"/>
    </row>
    <row r="14" spans="1:49" s="6" customFormat="1" ht="46.15" customHeight="1">
      <c r="A14" s="230">
        <v>6</v>
      </c>
      <c r="B14" s="236" t="s">
        <v>248</v>
      </c>
      <c r="C14" s="237">
        <v>4</v>
      </c>
      <c r="D14" s="237"/>
      <c r="E14" s="236">
        <v>4.49</v>
      </c>
      <c r="F14" s="188">
        <v>17697</v>
      </c>
      <c r="G14" s="231">
        <f t="shared" si="0"/>
        <v>79459.53</v>
      </c>
      <c r="H14" s="231">
        <f t="shared" si="1"/>
        <v>19864.8825</v>
      </c>
      <c r="I14" s="231">
        <f t="shared" si="2"/>
        <v>99324.412500000006</v>
      </c>
      <c r="J14" s="187"/>
      <c r="K14" s="187">
        <v>4</v>
      </c>
      <c r="L14" s="187">
        <v>1</v>
      </c>
      <c r="M14" s="230">
        <f t="shared" si="3"/>
        <v>5</v>
      </c>
      <c r="N14" s="232">
        <f t="shared" si="4"/>
        <v>0</v>
      </c>
      <c r="O14" s="233">
        <f t="shared" si="5"/>
        <v>0.22222222222222221</v>
      </c>
      <c r="P14" s="233">
        <f t="shared" si="6"/>
        <v>5.5555555555555552E-2</v>
      </c>
      <c r="Q14" s="232">
        <f t="shared" si="7"/>
        <v>0.27777777777777779</v>
      </c>
      <c r="R14" s="234">
        <f t="shared" si="8"/>
        <v>0</v>
      </c>
      <c r="S14" s="231">
        <f t="shared" si="9"/>
        <v>22072.091666666667</v>
      </c>
      <c r="T14" s="188">
        <f t="shared" si="10"/>
        <v>5518.0229166666668</v>
      </c>
      <c r="U14" s="231">
        <f t="shared" si="11"/>
        <v>27590.114583333336</v>
      </c>
      <c r="V14" s="187"/>
      <c r="W14" s="187"/>
      <c r="X14" s="231"/>
      <c r="Y14" s="187"/>
      <c r="Z14" s="187"/>
      <c r="AA14" s="231"/>
      <c r="AB14" s="233"/>
      <c r="AC14" s="187"/>
      <c r="AD14" s="238">
        <f t="shared" si="12"/>
        <v>0</v>
      </c>
      <c r="AE14" s="233">
        <v>1</v>
      </c>
      <c r="AF14" s="187">
        <v>20</v>
      </c>
      <c r="AG14" s="231">
        <f>F14*AE14*AF14/100</f>
        <v>3539.4</v>
      </c>
      <c r="AH14" s="233"/>
      <c r="AI14" s="187"/>
      <c r="AJ14" s="231">
        <f>F14*AH14*AI14/100</f>
        <v>0</v>
      </c>
      <c r="AK14" s="232">
        <f t="shared" si="13"/>
        <v>0.27777777777777779</v>
      </c>
      <c r="AL14" s="187">
        <v>40</v>
      </c>
      <c r="AM14" s="231">
        <f t="shared" si="14"/>
        <v>1966.3333333333337</v>
      </c>
      <c r="AN14" s="238"/>
      <c r="AO14" s="187"/>
      <c r="AP14" s="231">
        <f t="shared" si="17"/>
        <v>8277.0343750000011</v>
      </c>
      <c r="AQ14" s="187"/>
      <c r="AR14" s="238"/>
      <c r="AS14" s="231">
        <f t="shared" si="15"/>
        <v>16541.779166666667</v>
      </c>
      <c r="AT14" s="231">
        <f t="shared" si="18"/>
        <v>44131.893750000003</v>
      </c>
      <c r="AU14" s="235">
        <f t="shared" si="16"/>
        <v>2759.0114583333338</v>
      </c>
      <c r="AV14" s="8"/>
    </row>
    <row r="15" spans="1:49" s="6" customFormat="1" ht="44.45" customHeight="1">
      <c r="A15" s="230">
        <v>7</v>
      </c>
      <c r="B15" s="236" t="s">
        <v>248</v>
      </c>
      <c r="C15" s="237">
        <v>4</v>
      </c>
      <c r="D15" s="237"/>
      <c r="E15" s="236">
        <v>4.49</v>
      </c>
      <c r="F15" s="188">
        <v>17697</v>
      </c>
      <c r="G15" s="231">
        <f t="shared" si="0"/>
        <v>79459.53</v>
      </c>
      <c r="H15" s="231">
        <f t="shared" si="1"/>
        <v>19864.8825</v>
      </c>
      <c r="I15" s="231">
        <f t="shared" si="2"/>
        <v>99324.412500000006</v>
      </c>
      <c r="J15" s="187"/>
      <c r="K15" s="187">
        <v>5</v>
      </c>
      <c r="L15" s="187"/>
      <c r="M15" s="230">
        <f t="shared" si="3"/>
        <v>5</v>
      </c>
      <c r="N15" s="232">
        <f t="shared" si="4"/>
        <v>0</v>
      </c>
      <c r="O15" s="233">
        <f t="shared" si="5"/>
        <v>0.27777777777777779</v>
      </c>
      <c r="P15" s="233">
        <f t="shared" si="6"/>
        <v>0</v>
      </c>
      <c r="Q15" s="232">
        <f t="shared" si="7"/>
        <v>0.27777777777777779</v>
      </c>
      <c r="R15" s="234">
        <f t="shared" si="8"/>
        <v>0</v>
      </c>
      <c r="S15" s="231">
        <f t="shared" si="9"/>
        <v>27590.114583333336</v>
      </c>
      <c r="T15" s="188">
        <f t="shared" si="10"/>
        <v>0</v>
      </c>
      <c r="U15" s="231">
        <f t="shared" si="11"/>
        <v>27590.114583333336</v>
      </c>
      <c r="V15" s="187"/>
      <c r="W15" s="187"/>
      <c r="X15" s="231"/>
      <c r="Y15" s="187">
        <v>5</v>
      </c>
      <c r="Z15" s="187">
        <v>20</v>
      </c>
      <c r="AA15" s="231">
        <f>((F15/18)*Y15)*Z15/100</f>
        <v>983.16666666666652</v>
      </c>
      <c r="AB15" s="233"/>
      <c r="AC15" s="187"/>
      <c r="AD15" s="238">
        <f t="shared" si="12"/>
        <v>0</v>
      </c>
      <c r="AE15" s="233"/>
      <c r="AF15" s="187"/>
      <c r="AG15" s="231"/>
      <c r="AH15" s="233"/>
      <c r="AI15" s="187"/>
      <c r="AJ15" s="231">
        <f>F15*AH15*AI15/100</f>
        <v>0</v>
      </c>
      <c r="AK15" s="232">
        <f t="shared" si="13"/>
        <v>0.27777777777777779</v>
      </c>
      <c r="AL15" s="187">
        <v>40</v>
      </c>
      <c r="AM15" s="231">
        <f t="shared" si="14"/>
        <v>1966.3333333333337</v>
      </c>
      <c r="AN15" s="238"/>
      <c r="AO15" s="187"/>
      <c r="AP15" s="231">
        <f t="shared" si="17"/>
        <v>8277.0343750000011</v>
      </c>
      <c r="AQ15" s="187"/>
      <c r="AR15" s="238"/>
      <c r="AS15" s="231">
        <f t="shared" si="15"/>
        <v>13985.545833333335</v>
      </c>
      <c r="AT15" s="231">
        <f t="shared" si="18"/>
        <v>41575.660416666673</v>
      </c>
      <c r="AU15" s="235">
        <f t="shared" si="16"/>
        <v>2759.0114583333338</v>
      </c>
      <c r="AV15" s="8"/>
    </row>
    <row r="16" spans="1:49" s="6" customFormat="1" ht="44.45" customHeight="1">
      <c r="A16" s="188">
        <v>8</v>
      </c>
      <c r="B16" s="236" t="s">
        <v>248</v>
      </c>
      <c r="C16" s="237">
        <v>2</v>
      </c>
      <c r="D16" s="237"/>
      <c r="E16" s="239">
        <v>4.79</v>
      </c>
      <c r="F16" s="188">
        <v>17697</v>
      </c>
      <c r="G16" s="231">
        <f t="shared" si="0"/>
        <v>84768.63</v>
      </c>
      <c r="H16" s="231">
        <f t="shared" si="1"/>
        <v>21192.157500000001</v>
      </c>
      <c r="I16" s="231">
        <f t="shared" si="2"/>
        <v>105960.78750000001</v>
      </c>
      <c r="J16" s="187"/>
      <c r="K16" s="187">
        <v>9</v>
      </c>
      <c r="L16" s="187">
        <v>3</v>
      </c>
      <c r="M16" s="230">
        <f t="shared" si="3"/>
        <v>12</v>
      </c>
      <c r="N16" s="232">
        <f t="shared" si="4"/>
        <v>0</v>
      </c>
      <c r="O16" s="233">
        <f t="shared" si="5"/>
        <v>0.5</v>
      </c>
      <c r="P16" s="233">
        <f t="shared" si="6"/>
        <v>0.16666666666666666</v>
      </c>
      <c r="Q16" s="232">
        <f t="shared" si="7"/>
        <v>0.66666666666666663</v>
      </c>
      <c r="R16" s="234">
        <f t="shared" si="8"/>
        <v>0</v>
      </c>
      <c r="S16" s="231">
        <f t="shared" si="9"/>
        <v>52980.393750000003</v>
      </c>
      <c r="T16" s="238">
        <f t="shared" si="10"/>
        <v>17660.131249999999</v>
      </c>
      <c r="U16" s="231">
        <f t="shared" si="11"/>
        <v>70640.524999999994</v>
      </c>
      <c r="V16" s="187"/>
      <c r="W16" s="187"/>
      <c r="X16" s="231"/>
      <c r="Y16" s="187"/>
      <c r="Z16" s="187"/>
      <c r="AA16" s="231"/>
      <c r="AB16" s="233"/>
      <c r="AC16" s="187"/>
      <c r="AD16" s="238">
        <f t="shared" si="12"/>
        <v>0</v>
      </c>
      <c r="AE16" s="233">
        <v>1</v>
      </c>
      <c r="AF16" s="187">
        <v>20</v>
      </c>
      <c r="AG16" s="231">
        <f>F16*AE16*AF16/100</f>
        <v>3539.4</v>
      </c>
      <c r="AH16" s="233"/>
      <c r="AI16" s="187"/>
      <c r="AJ16" s="231">
        <f>13613*AH16*AI16/100</f>
        <v>0</v>
      </c>
      <c r="AK16" s="232">
        <f t="shared" si="13"/>
        <v>0.66666666666666663</v>
      </c>
      <c r="AL16" s="187">
        <v>40</v>
      </c>
      <c r="AM16" s="231">
        <f t="shared" si="14"/>
        <v>4719.2</v>
      </c>
      <c r="AN16" s="238"/>
      <c r="AO16" s="187"/>
      <c r="AP16" s="231">
        <f t="shared" si="17"/>
        <v>21192.157499999998</v>
      </c>
      <c r="AQ16" s="187"/>
      <c r="AR16" s="238"/>
      <c r="AS16" s="231">
        <f t="shared" si="15"/>
        <v>36514.81</v>
      </c>
      <c r="AT16" s="231">
        <f t="shared" si="18"/>
        <v>107155.33499999999</v>
      </c>
      <c r="AU16" s="235">
        <f t="shared" si="16"/>
        <v>7064.0524999999998</v>
      </c>
      <c r="AV16" s="8"/>
    </row>
    <row r="17" spans="1:51" s="6" customFormat="1" ht="28.5" customHeight="1">
      <c r="A17" s="230">
        <v>9</v>
      </c>
      <c r="B17" s="236" t="s">
        <v>248</v>
      </c>
      <c r="C17" s="237">
        <v>2</v>
      </c>
      <c r="D17" s="237"/>
      <c r="E17" s="236">
        <v>5.12</v>
      </c>
      <c r="F17" s="188">
        <v>17697</v>
      </c>
      <c r="G17" s="231">
        <f t="shared" si="0"/>
        <v>90608.639999999999</v>
      </c>
      <c r="H17" s="231">
        <f t="shared" si="1"/>
        <v>22652.16</v>
      </c>
      <c r="I17" s="231">
        <f t="shared" si="2"/>
        <v>113260.8</v>
      </c>
      <c r="J17" s="187"/>
      <c r="K17" s="187">
        <v>12</v>
      </c>
      <c r="L17" s="187">
        <v>3</v>
      </c>
      <c r="M17" s="230">
        <f t="shared" si="3"/>
        <v>15</v>
      </c>
      <c r="N17" s="232">
        <f t="shared" si="4"/>
        <v>0</v>
      </c>
      <c r="O17" s="233">
        <f t="shared" si="5"/>
        <v>0.66666666666666663</v>
      </c>
      <c r="P17" s="233">
        <f t="shared" si="6"/>
        <v>0.16666666666666666</v>
      </c>
      <c r="Q17" s="232">
        <f t="shared" si="7"/>
        <v>0.83333333333333326</v>
      </c>
      <c r="R17" s="234">
        <f t="shared" si="8"/>
        <v>0</v>
      </c>
      <c r="S17" s="231">
        <f t="shared" si="9"/>
        <v>75507.199999999997</v>
      </c>
      <c r="T17" s="188">
        <f t="shared" si="10"/>
        <v>18876.8</v>
      </c>
      <c r="U17" s="231">
        <f t="shared" si="11"/>
        <v>94384</v>
      </c>
      <c r="V17" s="187"/>
      <c r="W17" s="187"/>
      <c r="X17" s="231"/>
      <c r="Y17" s="187"/>
      <c r="Z17" s="187"/>
      <c r="AA17" s="231"/>
      <c r="AB17" s="233"/>
      <c r="AC17" s="187"/>
      <c r="AD17" s="238">
        <f t="shared" si="12"/>
        <v>0</v>
      </c>
      <c r="AE17" s="233"/>
      <c r="AF17" s="187"/>
      <c r="AG17" s="231"/>
      <c r="AH17" s="233"/>
      <c r="AI17" s="187"/>
      <c r="AJ17" s="231">
        <f t="shared" ref="AJ17:AJ27" si="19">F17*AH17*AI17/100</f>
        <v>0</v>
      </c>
      <c r="AK17" s="232">
        <f t="shared" si="13"/>
        <v>0.83333333333333326</v>
      </c>
      <c r="AL17" s="187">
        <v>40</v>
      </c>
      <c r="AM17" s="231">
        <f t="shared" si="14"/>
        <v>5898.9999999999991</v>
      </c>
      <c r="AN17" s="238"/>
      <c r="AO17" s="187"/>
      <c r="AP17" s="231">
        <f t="shared" si="17"/>
        <v>28315.200000000001</v>
      </c>
      <c r="AQ17" s="187"/>
      <c r="AR17" s="238">
        <v>33034</v>
      </c>
      <c r="AS17" s="231">
        <f t="shared" si="15"/>
        <v>76686.599999999991</v>
      </c>
      <c r="AT17" s="231">
        <f t="shared" si="18"/>
        <v>171070.59999999998</v>
      </c>
      <c r="AU17" s="235">
        <f t="shared" si="16"/>
        <v>9438.4</v>
      </c>
      <c r="AV17" s="8"/>
    </row>
    <row r="18" spans="1:51" s="6" customFormat="1" ht="44.45" customHeight="1">
      <c r="A18" s="230">
        <v>10</v>
      </c>
      <c r="B18" s="236" t="s">
        <v>248</v>
      </c>
      <c r="C18" s="237">
        <v>3</v>
      </c>
      <c r="D18" s="237"/>
      <c r="E18" s="236">
        <v>5.08</v>
      </c>
      <c r="F18" s="188">
        <v>17697</v>
      </c>
      <c r="G18" s="231">
        <f t="shared" si="0"/>
        <v>89900.76</v>
      </c>
      <c r="H18" s="231">
        <f t="shared" si="1"/>
        <v>22475.19</v>
      </c>
      <c r="I18" s="231">
        <f t="shared" si="2"/>
        <v>112375.95</v>
      </c>
      <c r="J18" s="187">
        <v>1</v>
      </c>
      <c r="K18" s="187">
        <v>4</v>
      </c>
      <c r="L18" s="187">
        <v>1</v>
      </c>
      <c r="M18" s="230">
        <f t="shared" si="3"/>
        <v>6</v>
      </c>
      <c r="N18" s="232">
        <f t="shared" si="4"/>
        <v>5.5555555555555552E-2</v>
      </c>
      <c r="O18" s="233">
        <f t="shared" si="5"/>
        <v>0.22222222222222221</v>
      </c>
      <c r="P18" s="233">
        <f t="shared" si="6"/>
        <v>5.5555555555555552E-2</v>
      </c>
      <c r="Q18" s="232">
        <f t="shared" si="7"/>
        <v>0.33333333333333337</v>
      </c>
      <c r="R18" s="234">
        <f t="shared" si="8"/>
        <v>6243.1083333333327</v>
      </c>
      <c r="S18" s="231">
        <f t="shared" si="9"/>
        <v>24972.433333333331</v>
      </c>
      <c r="T18" s="188">
        <f t="shared" si="10"/>
        <v>6243.1083333333327</v>
      </c>
      <c r="U18" s="231">
        <f t="shared" si="11"/>
        <v>37458.649999999994</v>
      </c>
      <c r="V18" s="187"/>
      <c r="W18" s="187"/>
      <c r="X18" s="231"/>
      <c r="Y18" s="187"/>
      <c r="Z18" s="187"/>
      <c r="AA18" s="231"/>
      <c r="AB18" s="233"/>
      <c r="AC18" s="187"/>
      <c r="AD18" s="238">
        <f t="shared" si="12"/>
        <v>0</v>
      </c>
      <c r="AE18" s="233">
        <v>1</v>
      </c>
      <c r="AF18" s="187">
        <v>20</v>
      </c>
      <c r="AG18" s="231">
        <f>F18*AE18*AF18/100</f>
        <v>3539.4</v>
      </c>
      <c r="AH18" s="233"/>
      <c r="AI18" s="187"/>
      <c r="AJ18" s="231">
        <f t="shared" si="19"/>
        <v>0</v>
      </c>
      <c r="AK18" s="232">
        <f t="shared" si="13"/>
        <v>0.33333333333333337</v>
      </c>
      <c r="AL18" s="187">
        <v>40</v>
      </c>
      <c r="AM18" s="231">
        <f t="shared" si="14"/>
        <v>2359.6000000000004</v>
      </c>
      <c r="AN18" s="238"/>
      <c r="AO18" s="187"/>
      <c r="AP18" s="231">
        <f t="shared" si="17"/>
        <v>11237.594999999998</v>
      </c>
      <c r="AQ18" s="187"/>
      <c r="AR18" s="238"/>
      <c r="AS18" s="231">
        <f t="shared" si="15"/>
        <v>20882.46</v>
      </c>
      <c r="AT18" s="231">
        <f t="shared" si="18"/>
        <v>58341.109999999993</v>
      </c>
      <c r="AU18" s="235">
        <f t="shared" si="16"/>
        <v>3745.8649999999998</v>
      </c>
      <c r="AV18" s="8"/>
    </row>
    <row r="19" spans="1:51" s="6" customFormat="1" ht="44.25" customHeight="1">
      <c r="A19" s="188">
        <v>11</v>
      </c>
      <c r="B19" s="236" t="s">
        <v>248</v>
      </c>
      <c r="C19" s="237">
        <v>3</v>
      </c>
      <c r="D19" s="237"/>
      <c r="E19" s="236">
        <v>4.99</v>
      </c>
      <c r="F19" s="188">
        <v>17697</v>
      </c>
      <c r="G19" s="231">
        <f t="shared" si="0"/>
        <v>88308.03</v>
      </c>
      <c r="H19" s="231">
        <f t="shared" si="1"/>
        <v>22077.0075</v>
      </c>
      <c r="I19" s="231">
        <f t="shared" si="2"/>
        <v>110385.03750000001</v>
      </c>
      <c r="J19" s="187">
        <v>16</v>
      </c>
      <c r="K19" s="187"/>
      <c r="L19" s="187"/>
      <c r="M19" s="230">
        <f t="shared" si="3"/>
        <v>16</v>
      </c>
      <c r="N19" s="232">
        <f t="shared" si="4"/>
        <v>0.88888888888888884</v>
      </c>
      <c r="O19" s="233">
        <f t="shared" si="5"/>
        <v>0</v>
      </c>
      <c r="P19" s="233">
        <f t="shared" si="6"/>
        <v>0</v>
      </c>
      <c r="Q19" s="232">
        <f t="shared" si="7"/>
        <v>0.88888888888888884</v>
      </c>
      <c r="R19" s="234">
        <f t="shared" si="8"/>
        <v>98120.03333333334</v>
      </c>
      <c r="S19" s="231">
        <f t="shared" si="9"/>
        <v>0</v>
      </c>
      <c r="T19" s="188">
        <f t="shared" si="10"/>
        <v>0</v>
      </c>
      <c r="U19" s="231">
        <f t="shared" si="11"/>
        <v>98120.03333333334</v>
      </c>
      <c r="V19" s="187">
        <v>9</v>
      </c>
      <c r="W19" s="187">
        <v>20</v>
      </c>
      <c r="X19" s="231">
        <f>((17697/18)*V19)*W19/100</f>
        <v>1769.7</v>
      </c>
      <c r="Y19" s="187"/>
      <c r="Z19" s="187"/>
      <c r="AA19" s="231"/>
      <c r="AB19" s="233"/>
      <c r="AC19" s="187"/>
      <c r="AD19" s="238">
        <f t="shared" si="12"/>
        <v>0</v>
      </c>
      <c r="AE19" s="233"/>
      <c r="AF19" s="187"/>
      <c r="AG19" s="231"/>
      <c r="AH19" s="233"/>
      <c r="AI19" s="187"/>
      <c r="AJ19" s="231">
        <f t="shared" si="19"/>
        <v>0</v>
      </c>
      <c r="AK19" s="232">
        <f t="shared" si="13"/>
        <v>0.88888888888888884</v>
      </c>
      <c r="AL19" s="187">
        <v>40</v>
      </c>
      <c r="AM19" s="231">
        <f t="shared" si="14"/>
        <v>6292.2666666666664</v>
      </c>
      <c r="AN19" s="238"/>
      <c r="AO19" s="187"/>
      <c r="AP19" s="231">
        <f t="shared" si="17"/>
        <v>29436.010000000002</v>
      </c>
      <c r="AQ19" s="187"/>
      <c r="AR19" s="238">
        <v>29436</v>
      </c>
      <c r="AS19" s="231">
        <f t="shared" si="15"/>
        <v>76745.98000000001</v>
      </c>
      <c r="AT19" s="231">
        <f t="shared" si="18"/>
        <v>174866.01333333337</v>
      </c>
      <c r="AU19" s="235">
        <f t="shared" si="16"/>
        <v>9812.003333333334</v>
      </c>
      <c r="AV19" s="8"/>
      <c r="AW19" s="268"/>
    </row>
    <row r="20" spans="1:51" s="6" customFormat="1" ht="40.5" customHeight="1">
      <c r="A20" s="230">
        <v>12</v>
      </c>
      <c r="B20" s="236" t="s">
        <v>248</v>
      </c>
      <c r="C20" s="237">
        <v>4</v>
      </c>
      <c r="D20" s="237"/>
      <c r="E20" s="236">
        <v>4.7300000000000004</v>
      </c>
      <c r="F20" s="188">
        <v>17697</v>
      </c>
      <c r="G20" s="231">
        <f t="shared" si="0"/>
        <v>83706.810000000012</v>
      </c>
      <c r="H20" s="231">
        <f t="shared" si="1"/>
        <v>20926.702500000003</v>
      </c>
      <c r="I20" s="231">
        <f t="shared" si="2"/>
        <v>104633.51250000001</v>
      </c>
      <c r="J20" s="187"/>
      <c r="K20" s="187">
        <v>4</v>
      </c>
      <c r="L20" s="187">
        <v>2</v>
      </c>
      <c r="M20" s="230">
        <f t="shared" si="3"/>
        <v>6</v>
      </c>
      <c r="N20" s="232">
        <f t="shared" si="4"/>
        <v>0</v>
      </c>
      <c r="O20" s="233">
        <f t="shared" si="5"/>
        <v>0.22222222222222221</v>
      </c>
      <c r="P20" s="233">
        <f t="shared" si="6"/>
        <v>0.1111111111111111</v>
      </c>
      <c r="Q20" s="232">
        <f t="shared" si="7"/>
        <v>0.33333333333333331</v>
      </c>
      <c r="R20" s="234">
        <f t="shared" si="8"/>
        <v>0</v>
      </c>
      <c r="S20" s="231">
        <f t="shared" si="9"/>
        <v>23251.891666666666</v>
      </c>
      <c r="T20" s="188">
        <f t="shared" si="10"/>
        <v>11625.945833333333</v>
      </c>
      <c r="U20" s="231">
        <f t="shared" si="11"/>
        <v>34877.837500000001</v>
      </c>
      <c r="V20" s="187"/>
      <c r="W20" s="187"/>
      <c r="X20" s="231"/>
      <c r="Y20" s="187"/>
      <c r="Z20" s="187"/>
      <c r="AA20" s="231"/>
      <c r="AB20" s="233"/>
      <c r="AC20" s="187"/>
      <c r="AD20" s="238">
        <f t="shared" si="12"/>
        <v>0</v>
      </c>
      <c r="AE20" s="233">
        <v>1</v>
      </c>
      <c r="AF20" s="187">
        <v>20</v>
      </c>
      <c r="AG20" s="231">
        <f>F20*AE20*AF20/100</f>
        <v>3539.4</v>
      </c>
      <c r="AH20" s="233"/>
      <c r="AI20" s="187"/>
      <c r="AJ20" s="231">
        <f t="shared" si="19"/>
        <v>0</v>
      </c>
      <c r="AK20" s="232">
        <f t="shared" si="13"/>
        <v>0.33333333333333331</v>
      </c>
      <c r="AL20" s="187">
        <v>40</v>
      </c>
      <c r="AM20" s="231">
        <f t="shared" si="14"/>
        <v>2359.6</v>
      </c>
      <c r="AN20" s="238"/>
      <c r="AO20" s="187"/>
      <c r="AP20" s="231">
        <f t="shared" si="17"/>
        <v>10463.35125</v>
      </c>
      <c r="AQ20" s="187"/>
      <c r="AR20" s="238"/>
      <c r="AS20" s="231">
        <f t="shared" si="15"/>
        <v>19850.135000000002</v>
      </c>
      <c r="AT20" s="231">
        <f t="shared" si="18"/>
        <v>54727.972500000003</v>
      </c>
      <c r="AU20" s="235">
        <f t="shared" si="16"/>
        <v>3487.7837500000005</v>
      </c>
      <c r="AV20" s="8"/>
    </row>
    <row r="21" spans="1:51" s="6" customFormat="1" ht="40.5" customHeight="1">
      <c r="A21" s="230">
        <v>13</v>
      </c>
      <c r="B21" s="236" t="s">
        <v>248</v>
      </c>
      <c r="C21" s="237">
        <v>3</v>
      </c>
      <c r="D21" s="237"/>
      <c r="E21" s="236">
        <v>5.16</v>
      </c>
      <c r="F21" s="188">
        <v>17697</v>
      </c>
      <c r="G21" s="231">
        <f t="shared" si="0"/>
        <v>91316.52</v>
      </c>
      <c r="H21" s="231">
        <f t="shared" si="1"/>
        <v>22829.13</v>
      </c>
      <c r="I21" s="231">
        <f t="shared" si="2"/>
        <v>114145.65000000001</v>
      </c>
      <c r="J21" s="187"/>
      <c r="K21" s="187">
        <v>4</v>
      </c>
      <c r="L21" s="187">
        <v>2</v>
      </c>
      <c r="M21" s="230">
        <f t="shared" si="3"/>
        <v>6</v>
      </c>
      <c r="N21" s="232">
        <f t="shared" si="4"/>
        <v>0</v>
      </c>
      <c r="O21" s="233">
        <f t="shared" si="5"/>
        <v>0.22222222222222221</v>
      </c>
      <c r="P21" s="233">
        <f t="shared" si="6"/>
        <v>0.1111111111111111</v>
      </c>
      <c r="Q21" s="232">
        <f t="shared" si="7"/>
        <v>0.33333333333333331</v>
      </c>
      <c r="R21" s="234">
        <f t="shared" si="8"/>
        <v>0</v>
      </c>
      <c r="S21" s="231">
        <f t="shared" si="9"/>
        <v>25365.7</v>
      </c>
      <c r="T21" s="188">
        <f t="shared" si="10"/>
        <v>12682.85</v>
      </c>
      <c r="U21" s="231">
        <f t="shared" si="11"/>
        <v>38048.550000000003</v>
      </c>
      <c r="V21" s="187"/>
      <c r="W21" s="187"/>
      <c r="X21" s="231"/>
      <c r="Y21" s="187"/>
      <c r="Z21" s="187"/>
      <c r="AA21" s="231"/>
      <c r="AB21" s="233"/>
      <c r="AC21" s="187"/>
      <c r="AD21" s="238">
        <f t="shared" si="12"/>
        <v>0</v>
      </c>
      <c r="AE21" s="233">
        <v>1</v>
      </c>
      <c r="AF21" s="187">
        <v>20</v>
      </c>
      <c r="AG21" s="231">
        <f>F21*AE21*AF21/100</f>
        <v>3539.4</v>
      </c>
      <c r="AH21" s="233"/>
      <c r="AI21" s="187"/>
      <c r="AJ21" s="231">
        <f t="shared" si="19"/>
        <v>0</v>
      </c>
      <c r="AK21" s="232">
        <f t="shared" si="13"/>
        <v>0.33333333333333331</v>
      </c>
      <c r="AL21" s="187">
        <v>40</v>
      </c>
      <c r="AM21" s="231">
        <f t="shared" si="14"/>
        <v>2359.6</v>
      </c>
      <c r="AN21" s="238"/>
      <c r="AO21" s="187"/>
      <c r="AP21" s="231">
        <f t="shared" si="17"/>
        <v>11414.565000000001</v>
      </c>
      <c r="AQ21" s="187"/>
      <c r="AR21" s="238"/>
      <c r="AS21" s="231">
        <f t="shared" si="15"/>
        <v>21118.420000000002</v>
      </c>
      <c r="AT21" s="231">
        <f t="shared" si="18"/>
        <v>59166.97</v>
      </c>
      <c r="AU21" s="235">
        <f t="shared" si="16"/>
        <v>3804.8550000000005</v>
      </c>
      <c r="AV21" s="8"/>
    </row>
    <row r="22" spans="1:51" s="6" customFormat="1" ht="47.25" customHeight="1">
      <c r="A22" s="188">
        <v>14</v>
      </c>
      <c r="B22" s="236" t="s">
        <v>248</v>
      </c>
      <c r="C22" s="237">
        <v>4</v>
      </c>
      <c r="D22" s="237"/>
      <c r="E22" s="236">
        <v>4.7300000000000004</v>
      </c>
      <c r="F22" s="188">
        <v>17697</v>
      </c>
      <c r="G22" s="231">
        <f t="shared" si="0"/>
        <v>83706.810000000012</v>
      </c>
      <c r="H22" s="231">
        <f t="shared" si="1"/>
        <v>20926.702500000003</v>
      </c>
      <c r="I22" s="231">
        <f t="shared" si="2"/>
        <v>104633.51250000001</v>
      </c>
      <c r="J22" s="187"/>
      <c r="K22" s="187">
        <v>15</v>
      </c>
      <c r="L22" s="187">
        <v>5</v>
      </c>
      <c r="M22" s="230">
        <f t="shared" si="3"/>
        <v>20</v>
      </c>
      <c r="N22" s="232">
        <f t="shared" si="4"/>
        <v>0</v>
      </c>
      <c r="O22" s="233">
        <f t="shared" si="5"/>
        <v>0.83333333333333337</v>
      </c>
      <c r="P22" s="233">
        <f t="shared" si="6"/>
        <v>0.27777777777777779</v>
      </c>
      <c r="Q22" s="232">
        <f t="shared" si="7"/>
        <v>1.1111111111111112</v>
      </c>
      <c r="R22" s="234">
        <f t="shared" si="8"/>
        <v>0</v>
      </c>
      <c r="S22" s="231">
        <f t="shared" si="9"/>
        <v>87194.593750000015</v>
      </c>
      <c r="T22" s="188">
        <f t="shared" si="10"/>
        <v>29064.864583333339</v>
      </c>
      <c r="U22" s="231">
        <f t="shared" si="11"/>
        <v>116259.45833333336</v>
      </c>
      <c r="V22" s="187"/>
      <c r="W22" s="187"/>
      <c r="X22" s="231"/>
      <c r="Y22" s="187">
        <v>14</v>
      </c>
      <c r="Z22" s="187">
        <v>20</v>
      </c>
      <c r="AA22" s="231">
        <f>((F22/18)*Y22)*Z22/100</f>
        <v>2752.8666666666663</v>
      </c>
      <c r="AB22" s="233"/>
      <c r="AC22" s="187"/>
      <c r="AD22" s="238">
        <f t="shared" si="12"/>
        <v>0</v>
      </c>
      <c r="AE22" s="233"/>
      <c r="AF22" s="187"/>
      <c r="AG22" s="231"/>
      <c r="AH22" s="233"/>
      <c r="AI22" s="187"/>
      <c r="AJ22" s="231">
        <f t="shared" si="19"/>
        <v>0</v>
      </c>
      <c r="AK22" s="232">
        <f t="shared" si="13"/>
        <v>1.1111111111111112</v>
      </c>
      <c r="AL22" s="187">
        <v>40</v>
      </c>
      <c r="AM22" s="231">
        <f t="shared" si="14"/>
        <v>7865.3333333333348</v>
      </c>
      <c r="AN22" s="238"/>
      <c r="AO22" s="187"/>
      <c r="AP22" s="231">
        <f t="shared" si="17"/>
        <v>34877.837500000009</v>
      </c>
      <c r="AQ22" s="187"/>
      <c r="AR22" s="238"/>
      <c r="AS22" s="231">
        <f t="shared" si="15"/>
        <v>57121.983333333352</v>
      </c>
      <c r="AT22" s="231">
        <f t="shared" si="18"/>
        <v>173381.44166666671</v>
      </c>
      <c r="AU22" s="235">
        <f t="shared" si="16"/>
        <v>11625.945833333337</v>
      </c>
      <c r="AV22" s="8"/>
    </row>
    <row r="23" spans="1:51" s="6" customFormat="1" ht="44.25" customHeight="1">
      <c r="A23" s="230">
        <v>15</v>
      </c>
      <c r="B23" s="236" t="s">
        <v>248</v>
      </c>
      <c r="C23" s="237">
        <v>2</v>
      </c>
      <c r="D23" s="237"/>
      <c r="E23" s="236">
        <v>5.03</v>
      </c>
      <c r="F23" s="188">
        <v>17697</v>
      </c>
      <c r="G23" s="231">
        <f t="shared" si="0"/>
        <v>89015.91</v>
      </c>
      <c r="H23" s="231">
        <f t="shared" si="1"/>
        <v>22253.977500000001</v>
      </c>
      <c r="I23" s="231">
        <f t="shared" si="2"/>
        <v>111269.88750000001</v>
      </c>
      <c r="J23" s="187"/>
      <c r="K23" s="187">
        <v>8</v>
      </c>
      <c r="L23" s="187">
        <v>2</v>
      </c>
      <c r="M23" s="230">
        <f t="shared" si="3"/>
        <v>10</v>
      </c>
      <c r="N23" s="232">
        <f t="shared" si="4"/>
        <v>0</v>
      </c>
      <c r="O23" s="233">
        <f t="shared" si="5"/>
        <v>0.44444444444444442</v>
      </c>
      <c r="P23" s="233">
        <f t="shared" si="6"/>
        <v>0.1111111111111111</v>
      </c>
      <c r="Q23" s="232">
        <f t="shared" si="7"/>
        <v>0.55555555555555558</v>
      </c>
      <c r="R23" s="234">
        <f t="shared" si="8"/>
        <v>0</v>
      </c>
      <c r="S23" s="231">
        <f t="shared" si="9"/>
        <v>49453.283333333333</v>
      </c>
      <c r="T23" s="188">
        <f t="shared" si="10"/>
        <v>12363.320833333333</v>
      </c>
      <c r="U23" s="231">
        <f t="shared" si="11"/>
        <v>61816.604166666664</v>
      </c>
      <c r="V23" s="187"/>
      <c r="W23" s="187"/>
      <c r="X23" s="231"/>
      <c r="Y23" s="187"/>
      <c r="Z23" s="187"/>
      <c r="AA23" s="231"/>
      <c r="AB23" s="233"/>
      <c r="AC23" s="187"/>
      <c r="AD23" s="238">
        <f t="shared" si="12"/>
        <v>0</v>
      </c>
      <c r="AE23" s="233">
        <v>1</v>
      </c>
      <c r="AF23" s="187">
        <v>20</v>
      </c>
      <c r="AG23" s="231">
        <f>F23*AE23*AF23/100</f>
        <v>3539.4</v>
      </c>
      <c r="AH23" s="233"/>
      <c r="AI23" s="187"/>
      <c r="AJ23" s="231">
        <f t="shared" si="19"/>
        <v>0</v>
      </c>
      <c r="AK23" s="232">
        <f t="shared" si="13"/>
        <v>0.55555555555555558</v>
      </c>
      <c r="AL23" s="187">
        <v>40</v>
      </c>
      <c r="AM23" s="231">
        <f t="shared" si="14"/>
        <v>3932.6666666666674</v>
      </c>
      <c r="AN23" s="238"/>
      <c r="AO23" s="187"/>
      <c r="AP23" s="231">
        <f t="shared" si="17"/>
        <v>18544.981249999997</v>
      </c>
      <c r="AQ23" s="187"/>
      <c r="AR23" s="238"/>
      <c r="AS23" s="231">
        <f t="shared" si="15"/>
        <v>32198.708333333332</v>
      </c>
      <c r="AT23" s="231">
        <f t="shared" si="18"/>
        <v>94015.3125</v>
      </c>
      <c r="AU23" s="235">
        <f t="shared" si="16"/>
        <v>6181.6604166666666</v>
      </c>
      <c r="AV23" s="8"/>
    </row>
    <row r="24" spans="1:51" s="6" customFormat="1" ht="41.45" customHeight="1">
      <c r="A24" s="230">
        <v>16</v>
      </c>
      <c r="B24" s="236" t="s">
        <v>249</v>
      </c>
      <c r="C24" s="237">
        <v>3</v>
      </c>
      <c r="D24" s="237"/>
      <c r="E24" s="236">
        <v>4.16</v>
      </c>
      <c r="F24" s="188">
        <v>17697</v>
      </c>
      <c r="G24" s="231">
        <f t="shared" si="0"/>
        <v>73619.520000000004</v>
      </c>
      <c r="H24" s="231">
        <f t="shared" si="1"/>
        <v>18404.88</v>
      </c>
      <c r="I24" s="231">
        <f t="shared" si="2"/>
        <v>92024.400000000009</v>
      </c>
      <c r="J24" s="187"/>
      <c r="K24" s="187">
        <v>8</v>
      </c>
      <c r="L24" s="187">
        <v>4</v>
      </c>
      <c r="M24" s="230">
        <f t="shared" si="3"/>
        <v>12</v>
      </c>
      <c r="N24" s="232">
        <f t="shared" si="4"/>
        <v>0</v>
      </c>
      <c r="O24" s="233">
        <f t="shared" si="5"/>
        <v>0.44444444444444442</v>
      </c>
      <c r="P24" s="233">
        <f t="shared" si="6"/>
        <v>0.22222222222222221</v>
      </c>
      <c r="Q24" s="232">
        <f t="shared" si="7"/>
        <v>0.66666666666666663</v>
      </c>
      <c r="R24" s="234">
        <f t="shared" si="8"/>
        <v>0</v>
      </c>
      <c r="S24" s="231">
        <f t="shared" si="9"/>
        <v>40899.733333333337</v>
      </c>
      <c r="T24" s="188">
        <f t="shared" si="10"/>
        <v>20449.866666666669</v>
      </c>
      <c r="U24" s="231">
        <f t="shared" si="11"/>
        <v>61349.600000000006</v>
      </c>
      <c r="V24" s="187"/>
      <c r="W24" s="187"/>
      <c r="X24" s="231"/>
      <c r="Y24" s="187"/>
      <c r="Z24" s="187"/>
      <c r="AA24" s="231"/>
      <c r="AB24" s="233"/>
      <c r="AC24" s="187"/>
      <c r="AD24" s="238">
        <f t="shared" si="12"/>
        <v>0</v>
      </c>
      <c r="AE24" s="233"/>
      <c r="AF24" s="187"/>
      <c r="AG24" s="231"/>
      <c r="AH24" s="233"/>
      <c r="AI24" s="187"/>
      <c r="AJ24" s="231">
        <f t="shared" si="19"/>
        <v>0</v>
      </c>
      <c r="AK24" s="232">
        <f t="shared" si="13"/>
        <v>0.66666666666666663</v>
      </c>
      <c r="AL24" s="187">
        <v>40</v>
      </c>
      <c r="AM24" s="231">
        <f t="shared" si="14"/>
        <v>4719.2</v>
      </c>
      <c r="AN24" s="238"/>
      <c r="AO24" s="187"/>
      <c r="AP24" s="231">
        <f t="shared" si="17"/>
        <v>18404.88</v>
      </c>
      <c r="AQ24" s="187"/>
      <c r="AR24" s="238">
        <v>18405</v>
      </c>
      <c r="AS24" s="231">
        <f t="shared" si="15"/>
        <v>47664.04</v>
      </c>
      <c r="AT24" s="231">
        <f t="shared" si="18"/>
        <v>109013.64000000001</v>
      </c>
      <c r="AU24" s="235">
        <f t="shared" si="16"/>
        <v>6134.9600000000009</v>
      </c>
      <c r="AV24" s="8"/>
    </row>
    <row r="25" spans="1:51" s="6" customFormat="1" ht="39.75" customHeight="1">
      <c r="A25" s="188">
        <v>17</v>
      </c>
      <c r="B25" s="236" t="s">
        <v>248</v>
      </c>
      <c r="C25" s="237">
        <v>1</v>
      </c>
      <c r="D25" s="237"/>
      <c r="E25" s="236">
        <v>5.41</v>
      </c>
      <c r="F25" s="188">
        <v>17697</v>
      </c>
      <c r="G25" s="231">
        <f t="shared" si="0"/>
        <v>95740.77</v>
      </c>
      <c r="H25" s="231">
        <f t="shared" si="1"/>
        <v>23935.192500000001</v>
      </c>
      <c r="I25" s="231">
        <f t="shared" si="2"/>
        <v>119675.96250000001</v>
      </c>
      <c r="J25" s="187"/>
      <c r="K25" s="187">
        <v>10</v>
      </c>
      <c r="L25" s="187">
        <v>4</v>
      </c>
      <c r="M25" s="230">
        <f t="shared" si="3"/>
        <v>14</v>
      </c>
      <c r="N25" s="232">
        <f t="shared" si="4"/>
        <v>0</v>
      </c>
      <c r="O25" s="233">
        <f t="shared" si="5"/>
        <v>0.55555555555555558</v>
      </c>
      <c r="P25" s="233">
        <f t="shared" si="6"/>
        <v>0.22222222222222221</v>
      </c>
      <c r="Q25" s="232">
        <f t="shared" si="7"/>
        <v>0.77777777777777779</v>
      </c>
      <c r="R25" s="234">
        <f t="shared" si="8"/>
        <v>0</v>
      </c>
      <c r="S25" s="231">
        <f t="shared" si="9"/>
        <v>66486.645833333343</v>
      </c>
      <c r="T25" s="188">
        <f t="shared" si="10"/>
        <v>26594.658333333333</v>
      </c>
      <c r="U25" s="231">
        <f t="shared" si="11"/>
        <v>93081.304166666669</v>
      </c>
      <c r="V25" s="187"/>
      <c r="W25" s="187"/>
      <c r="X25" s="231"/>
      <c r="Y25" s="187">
        <v>7</v>
      </c>
      <c r="Z25" s="187">
        <v>25</v>
      </c>
      <c r="AA25" s="231">
        <f>((F25/18)*Y25)*Z25/100</f>
        <v>1720.5416666666665</v>
      </c>
      <c r="AB25" s="233"/>
      <c r="AC25" s="187"/>
      <c r="AD25" s="238">
        <f t="shared" si="12"/>
        <v>0</v>
      </c>
      <c r="AE25" s="233">
        <v>1</v>
      </c>
      <c r="AF25" s="187">
        <v>20</v>
      </c>
      <c r="AG25" s="231">
        <f>F25*AE25*AF25/100</f>
        <v>3539.4</v>
      </c>
      <c r="AH25" s="233"/>
      <c r="AI25" s="187"/>
      <c r="AJ25" s="231">
        <f t="shared" si="19"/>
        <v>0</v>
      </c>
      <c r="AK25" s="232">
        <f t="shared" si="13"/>
        <v>0.77777777777777779</v>
      </c>
      <c r="AL25" s="187">
        <v>40</v>
      </c>
      <c r="AM25" s="231">
        <f t="shared" si="14"/>
        <v>5505.7333333333336</v>
      </c>
      <c r="AN25" s="238"/>
      <c r="AO25" s="187"/>
      <c r="AP25" s="231">
        <f t="shared" si="17"/>
        <v>27924.391250000001</v>
      </c>
      <c r="AQ25" s="187"/>
      <c r="AR25" s="238"/>
      <c r="AS25" s="231">
        <f t="shared" si="15"/>
        <v>47998.19666666667</v>
      </c>
      <c r="AT25" s="231">
        <f t="shared" si="18"/>
        <v>141079.50083333335</v>
      </c>
      <c r="AU25" s="235">
        <f t="shared" si="16"/>
        <v>9308.1304166666669</v>
      </c>
      <c r="AV25" s="8"/>
    </row>
    <row r="26" spans="1:51" s="6" customFormat="1" ht="44.25" customHeight="1">
      <c r="A26" s="230">
        <v>18</v>
      </c>
      <c r="B26" s="236" t="s">
        <v>248</v>
      </c>
      <c r="C26" s="237">
        <v>1</v>
      </c>
      <c r="D26" s="237"/>
      <c r="E26" s="236">
        <v>5.32</v>
      </c>
      <c r="F26" s="188">
        <v>17697</v>
      </c>
      <c r="G26" s="231">
        <f t="shared" si="0"/>
        <v>94148.040000000008</v>
      </c>
      <c r="H26" s="231">
        <f t="shared" si="1"/>
        <v>23537.01</v>
      </c>
      <c r="I26" s="231">
        <f t="shared" si="2"/>
        <v>117685.05</v>
      </c>
      <c r="J26" s="187"/>
      <c r="K26" s="187">
        <v>4</v>
      </c>
      <c r="L26" s="187">
        <v>1</v>
      </c>
      <c r="M26" s="230">
        <f t="shared" si="3"/>
        <v>5</v>
      </c>
      <c r="N26" s="232">
        <f t="shared" si="4"/>
        <v>0</v>
      </c>
      <c r="O26" s="233">
        <f t="shared" si="5"/>
        <v>0.22222222222222221</v>
      </c>
      <c r="P26" s="233">
        <f t="shared" si="6"/>
        <v>5.5555555555555552E-2</v>
      </c>
      <c r="Q26" s="232">
        <f t="shared" si="7"/>
        <v>0.27777777777777779</v>
      </c>
      <c r="R26" s="234">
        <f t="shared" si="8"/>
        <v>0</v>
      </c>
      <c r="S26" s="231">
        <f t="shared" si="9"/>
        <v>26152.233333333334</v>
      </c>
      <c r="T26" s="188">
        <f t="shared" si="10"/>
        <v>6538.0583333333334</v>
      </c>
      <c r="U26" s="231">
        <f t="shared" si="11"/>
        <v>32690.291666666668</v>
      </c>
      <c r="V26" s="187"/>
      <c r="W26" s="187"/>
      <c r="X26" s="231"/>
      <c r="Y26" s="187"/>
      <c r="Z26" s="187"/>
      <c r="AA26" s="231"/>
      <c r="AB26" s="233"/>
      <c r="AC26" s="187"/>
      <c r="AD26" s="238">
        <f t="shared" si="12"/>
        <v>0</v>
      </c>
      <c r="AE26" s="233"/>
      <c r="AF26" s="187"/>
      <c r="AG26" s="231"/>
      <c r="AH26" s="233"/>
      <c r="AI26" s="187"/>
      <c r="AJ26" s="231">
        <f t="shared" si="19"/>
        <v>0</v>
      </c>
      <c r="AK26" s="232">
        <f t="shared" si="13"/>
        <v>0.27777777777777779</v>
      </c>
      <c r="AL26" s="187">
        <v>40</v>
      </c>
      <c r="AM26" s="231">
        <f t="shared" si="14"/>
        <v>1966.3333333333337</v>
      </c>
      <c r="AN26" s="238"/>
      <c r="AO26" s="187"/>
      <c r="AP26" s="231">
        <f t="shared" si="17"/>
        <v>9807.0874999999996</v>
      </c>
      <c r="AQ26" s="187"/>
      <c r="AR26" s="238"/>
      <c r="AS26" s="231">
        <f t="shared" si="15"/>
        <v>15042.45</v>
      </c>
      <c r="AT26" s="231">
        <f t="shared" si="18"/>
        <v>47732.741666666669</v>
      </c>
      <c r="AU26" s="235">
        <f t="shared" si="16"/>
        <v>3269.0291666666672</v>
      </c>
      <c r="AV26" s="8"/>
    </row>
    <row r="27" spans="1:51" s="6" customFormat="1" ht="44.45" customHeight="1">
      <c r="A27" s="230">
        <v>19</v>
      </c>
      <c r="B27" s="236" t="s">
        <v>249</v>
      </c>
      <c r="C27" s="237">
        <v>4</v>
      </c>
      <c r="D27" s="237"/>
      <c r="E27" s="236">
        <v>3.45</v>
      </c>
      <c r="F27" s="188">
        <v>17697</v>
      </c>
      <c r="G27" s="231">
        <f t="shared" si="0"/>
        <v>61054.65</v>
      </c>
      <c r="H27" s="231">
        <f t="shared" si="1"/>
        <v>15263.6625</v>
      </c>
      <c r="I27" s="231">
        <f t="shared" si="2"/>
        <v>76318.3125</v>
      </c>
      <c r="J27" s="187">
        <v>2</v>
      </c>
      <c r="K27" s="187">
        <v>2</v>
      </c>
      <c r="L27" s="187">
        <v>0</v>
      </c>
      <c r="M27" s="230">
        <f t="shared" si="3"/>
        <v>4</v>
      </c>
      <c r="N27" s="232">
        <f t="shared" si="4"/>
        <v>0.1111111111111111</v>
      </c>
      <c r="O27" s="233">
        <f t="shared" si="5"/>
        <v>0.1111111111111111</v>
      </c>
      <c r="P27" s="233">
        <f t="shared" si="6"/>
        <v>0</v>
      </c>
      <c r="Q27" s="232">
        <f t="shared" si="7"/>
        <v>0.22222222222222221</v>
      </c>
      <c r="R27" s="234">
        <f t="shared" si="8"/>
        <v>8479.8125</v>
      </c>
      <c r="S27" s="231">
        <f t="shared" si="9"/>
        <v>8479.8125</v>
      </c>
      <c r="T27" s="188">
        <f t="shared" si="10"/>
        <v>0</v>
      </c>
      <c r="U27" s="231">
        <f t="shared" si="11"/>
        <v>16959.625</v>
      </c>
      <c r="V27" s="187"/>
      <c r="W27" s="187"/>
      <c r="X27" s="231"/>
      <c r="Y27" s="187"/>
      <c r="Z27" s="187"/>
      <c r="AA27" s="231"/>
      <c r="AB27" s="233"/>
      <c r="AC27" s="187"/>
      <c r="AD27" s="238">
        <f t="shared" si="12"/>
        <v>0</v>
      </c>
      <c r="AE27" s="233"/>
      <c r="AF27" s="187"/>
      <c r="AG27" s="231"/>
      <c r="AH27" s="233"/>
      <c r="AI27" s="187"/>
      <c r="AJ27" s="231">
        <f t="shared" si="19"/>
        <v>0</v>
      </c>
      <c r="AK27" s="232">
        <f t="shared" si="13"/>
        <v>0.22222222222222221</v>
      </c>
      <c r="AL27" s="187">
        <v>40</v>
      </c>
      <c r="AM27" s="231">
        <f t="shared" si="14"/>
        <v>1573.0666666666666</v>
      </c>
      <c r="AN27" s="238"/>
      <c r="AO27" s="187"/>
      <c r="AP27" s="231">
        <f t="shared" si="17"/>
        <v>5087.8874999999998</v>
      </c>
      <c r="AQ27" s="187"/>
      <c r="AR27" s="238"/>
      <c r="AS27" s="231">
        <f t="shared" si="15"/>
        <v>8356.9166666666661</v>
      </c>
      <c r="AT27" s="231">
        <f t="shared" si="18"/>
        <v>25316.541666666664</v>
      </c>
      <c r="AU27" s="235">
        <f t="shared" si="16"/>
        <v>1695.9625000000001</v>
      </c>
      <c r="AV27" s="8"/>
    </row>
    <row r="28" spans="1:51" s="6" customFormat="1" ht="43.5" customHeight="1">
      <c r="A28" s="188">
        <v>20</v>
      </c>
      <c r="B28" s="236" t="s">
        <v>248</v>
      </c>
      <c r="C28" s="237">
        <v>1</v>
      </c>
      <c r="D28" s="237"/>
      <c r="E28" s="236">
        <v>5.41</v>
      </c>
      <c r="F28" s="188">
        <v>17697</v>
      </c>
      <c r="G28" s="231">
        <f t="shared" si="0"/>
        <v>95740.77</v>
      </c>
      <c r="H28" s="231">
        <f t="shared" si="1"/>
        <v>23935.192500000001</v>
      </c>
      <c r="I28" s="231">
        <f t="shared" si="2"/>
        <v>119675.96250000001</v>
      </c>
      <c r="J28" s="187">
        <v>5</v>
      </c>
      <c r="K28" s="187">
        <v>13</v>
      </c>
      <c r="L28" s="187"/>
      <c r="M28" s="230">
        <f t="shared" si="3"/>
        <v>18</v>
      </c>
      <c r="N28" s="232">
        <f t="shared" si="4"/>
        <v>0.27777777777777779</v>
      </c>
      <c r="O28" s="233">
        <f t="shared" si="5"/>
        <v>0.72222222222222221</v>
      </c>
      <c r="P28" s="233">
        <f t="shared" si="6"/>
        <v>0</v>
      </c>
      <c r="Q28" s="232">
        <f t="shared" si="7"/>
        <v>1</v>
      </c>
      <c r="R28" s="234">
        <f t="shared" si="8"/>
        <v>33243.322916666672</v>
      </c>
      <c r="S28" s="231">
        <f t="shared" si="9"/>
        <v>86432.639583333337</v>
      </c>
      <c r="T28" s="238">
        <f t="shared" si="10"/>
        <v>0</v>
      </c>
      <c r="U28" s="231">
        <f t="shared" si="11"/>
        <v>119675.96250000001</v>
      </c>
      <c r="V28" s="187">
        <v>5</v>
      </c>
      <c r="W28" s="187">
        <v>25</v>
      </c>
      <c r="X28" s="231">
        <f>((17697/18)*V28)*W28/100</f>
        <v>1228.9583333333333</v>
      </c>
      <c r="Y28" s="187">
        <v>8</v>
      </c>
      <c r="Z28" s="187">
        <v>25</v>
      </c>
      <c r="AA28" s="231">
        <f>((F28/18)*Y28)*Z28/100</f>
        <v>1966.333333333333</v>
      </c>
      <c r="AB28" s="233"/>
      <c r="AC28" s="187"/>
      <c r="AD28" s="238">
        <f t="shared" si="12"/>
        <v>0</v>
      </c>
      <c r="AE28" s="233">
        <v>1</v>
      </c>
      <c r="AF28" s="187">
        <v>20</v>
      </c>
      <c r="AG28" s="231">
        <f>F28*AE28*AF28/100</f>
        <v>3539.4</v>
      </c>
      <c r="AH28" s="233"/>
      <c r="AI28" s="187"/>
      <c r="AJ28" s="231">
        <f>13613*AH28*AI28/100</f>
        <v>0</v>
      </c>
      <c r="AK28" s="232">
        <f t="shared" si="13"/>
        <v>1</v>
      </c>
      <c r="AL28" s="187">
        <v>40</v>
      </c>
      <c r="AM28" s="231">
        <f t="shared" si="14"/>
        <v>7078.8</v>
      </c>
      <c r="AN28" s="238"/>
      <c r="AO28" s="187"/>
      <c r="AP28" s="231">
        <f t="shared" si="17"/>
        <v>35902.78875</v>
      </c>
      <c r="AQ28" s="187"/>
      <c r="AR28" s="238"/>
      <c r="AS28" s="231">
        <f t="shared" si="15"/>
        <v>61683.876666666678</v>
      </c>
      <c r="AT28" s="231">
        <f t="shared" si="18"/>
        <v>181359.83916666667</v>
      </c>
      <c r="AU28" s="235">
        <f t="shared" si="16"/>
        <v>11967.596250000002</v>
      </c>
      <c r="AV28" s="8"/>
    </row>
    <row r="29" spans="1:51" s="6" customFormat="1" ht="29.25" customHeight="1">
      <c r="A29" s="230">
        <v>21</v>
      </c>
      <c r="B29" s="236" t="s">
        <v>249</v>
      </c>
      <c r="C29" s="237">
        <v>3</v>
      </c>
      <c r="D29" s="237"/>
      <c r="E29" s="239">
        <v>4.16</v>
      </c>
      <c r="F29" s="188">
        <v>17697</v>
      </c>
      <c r="G29" s="231">
        <f t="shared" si="0"/>
        <v>73619.520000000004</v>
      </c>
      <c r="H29" s="231">
        <f t="shared" si="1"/>
        <v>18404.88</v>
      </c>
      <c r="I29" s="231">
        <f t="shared" si="2"/>
        <v>92024.400000000009</v>
      </c>
      <c r="J29" s="187"/>
      <c r="K29" s="187">
        <v>4</v>
      </c>
      <c r="L29" s="187">
        <v>6</v>
      </c>
      <c r="M29" s="230">
        <f t="shared" si="3"/>
        <v>10</v>
      </c>
      <c r="N29" s="232">
        <f t="shared" si="4"/>
        <v>0</v>
      </c>
      <c r="O29" s="233">
        <f t="shared" si="5"/>
        <v>0.22222222222222221</v>
      </c>
      <c r="P29" s="233">
        <f t="shared" si="6"/>
        <v>0.33333333333333331</v>
      </c>
      <c r="Q29" s="232">
        <f t="shared" si="7"/>
        <v>0.55555555555555558</v>
      </c>
      <c r="R29" s="234">
        <f t="shared" si="8"/>
        <v>0</v>
      </c>
      <c r="S29" s="231">
        <f t="shared" si="9"/>
        <v>20449.866666666669</v>
      </c>
      <c r="T29" s="188">
        <f t="shared" si="10"/>
        <v>30674.800000000003</v>
      </c>
      <c r="U29" s="231">
        <f t="shared" si="11"/>
        <v>51124.666666666672</v>
      </c>
      <c r="V29" s="187"/>
      <c r="W29" s="187"/>
      <c r="X29" s="231"/>
      <c r="Y29" s="187"/>
      <c r="Z29" s="187"/>
      <c r="AA29" s="231"/>
      <c r="AB29" s="233"/>
      <c r="AC29" s="187"/>
      <c r="AD29" s="238">
        <f t="shared" si="12"/>
        <v>0</v>
      </c>
      <c r="AE29" s="233">
        <v>1</v>
      </c>
      <c r="AF29" s="187">
        <v>20</v>
      </c>
      <c r="AG29" s="231">
        <f>F29*AE29*AF29/100</f>
        <v>3539.4</v>
      </c>
      <c r="AH29" s="233"/>
      <c r="AI29" s="187"/>
      <c r="AJ29" s="231">
        <f>13613*AH29*AI29/100</f>
        <v>0</v>
      </c>
      <c r="AK29" s="232">
        <f t="shared" si="13"/>
        <v>0.55555555555555558</v>
      </c>
      <c r="AL29" s="187">
        <v>40</v>
      </c>
      <c r="AM29" s="231">
        <f t="shared" si="14"/>
        <v>3932.6666666666674</v>
      </c>
      <c r="AN29" s="238"/>
      <c r="AO29" s="187"/>
      <c r="AP29" s="231">
        <f t="shared" si="17"/>
        <v>15337.400000000001</v>
      </c>
      <c r="AQ29" s="187"/>
      <c r="AR29" s="238"/>
      <c r="AS29" s="231">
        <f t="shared" si="15"/>
        <v>27921.933333333338</v>
      </c>
      <c r="AT29" s="231">
        <f t="shared" si="18"/>
        <v>79046.600000000006</v>
      </c>
      <c r="AU29" s="235">
        <f t="shared" si="16"/>
        <v>5112.4666666666672</v>
      </c>
      <c r="AV29" s="8"/>
    </row>
    <row r="30" spans="1:51" s="6" customFormat="1" ht="45" customHeight="1">
      <c r="A30" s="230">
        <v>22</v>
      </c>
      <c r="B30" s="236" t="s">
        <v>248</v>
      </c>
      <c r="C30" s="237">
        <v>1</v>
      </c>
      <c r="D30" s="237"/>
      <c r="E30" s="236">
        <v>5.32</v>
      </c>
      <c r="F30" s="188">
        <v>17697</v>
      </c>
      <c r="G30" s="231">
        <f t="shared" si="0"/>
        <v>94148.040000000008</v>
      </c>
      <c r="H30" s="231">
        <f t="shared" si="1"/>
        <v>23537.01</v>
      </c>
      <c r="I30" s="231">
        <f t="shared" si="2"/>
        <v>117685.05</v>
      </c>
      <c r="J30" s="187">
        <v>9</v>
      </c>
      <c r="K30" s="187"/>
      <c r="L30" s="187"/>
      <c r="M30" s="230">
        <f t="shared" si="3"/>
        <v>9</v>
      </c>
      <c r="N30" s="232">
        <f t="shared" si="4"/>
        <v>0.5</v>
      </c>
      <c r="O30" s="233">
        <f t="shared" si="5"/>
        <v>0</v>
      </c>
      <c r="P30" s="233">
        <f t="shared" si="6"/>
        <v>0</v>
      </c>
      <c r="Q30" s="232">
        <f t="shared" si="7"/>
        <v>0.5</v>
      </c>
      <c r="R30" s="234">
        <f t="shared" si="8"/>
        <v>58842.525000000001</v>
      </c>
      <c r="S30" s="231">
        <f t="shared" si="9"/>
        <v>0</v>
      </c>
      <c r="T30" s="188">
        <f t="shared" si="10"/>
        <v>0</v>
      </c>
      <c r="U30" s="231">
        <f t="shared" si="11"/>
        <v>58842.525000000001</v>
      </c>
      <c r="V30" s="187"/>
      <c r="W30" s="187"/>
      <c r="X30" s="231"/>
      <c r="Y30" s="187"/>
      <c r="Z30" s="187"/>
      <c r="AA30" s="231"/>
      <c r="AB30" s="233"/>
      <c r="AC30" s="187"/>
      <c r="AD30" s="238">
        <f t="shared" si="12"/>
        <v>0</v>
      </c>
      <c r="AE30" s="233">
        <v>1</v>
      </c>
      <c r="AF30" s="187">
        <v>20</v>
      </c>
      <c r="AG30" s="231">
        <f>F30*AE30*AF30/100</f>
        <v>3539.4</v>
      </c>
      <c r="AH30" s="233"/>
      <c r="AI30" s="187"/>
      <c r="AJ30" s="231">
        <f>13613*AH30*AI30/100</f>
        <v>0</v>
      </c>
      <c r="AK30" s="232">
        <f t="shared" si="13"/>
        <v>0.5</v>
      </c>
      <c r="AL30" s="187">
        <v>40</v>
      </c>
      <c r="AM30" s="231">
        <f t="shared" si="14"/>
        <v>3539.4</v>
      </c>
      <c r="AN30" s="238"/>
      <c r="AO30" s="187"/>
      <c r="AP30" s="231">
        <f t="shared" si="17"/>
        <v>17652.7575</v>
      </c>
      <c r="AQ30" s="187"/>
      <c r="AR30" s="238">
        <v>23537</v>
      </c>
      <c r="AS30" s="231">
        <f t="shared" si="15"/>
        <v>54152.810000000005</v>
      </c>
      <c r="AT30" s="231">
        <f t="shared" si="18"/>
        <v>112995.33500000001</v>
      </c>
      <c r="AU30" s="235">
        <f t="shared" si="16"/>
        <v>5884.2525000000005</v>
      </c>
      <c r="AV30" s="8"/>
    </row>
    <row r="31" spans="1:51" s="6" customFormat="1" ht="28.5" customHeight="1">
      <c r="A31" s="188">
        <v>23</v>
      </c>
      <c r="B31" s="236" t="s">
        <v>248</v>
      </c>
      <c r="C31" s="237">
        <v>3</v>
      </c>
      <c r="D31" s="237"/>
      <c r="E31" s="236">
        <v>4.8099999999999996</v>
      </c>
      <c r="F31" s="188">
        <v>17697</v>
      </c>
      <c r="G31" s="231">
        <f t="shared" si="0"/>
        <v>85122.569999999992</v>
      </c>
      <c r="H31" s="231">
        <f t="shared" si="1"/>
        <v>21280.642500000002</v>
      </c>
      <c r="I31" s="231">
        <f t="shared" si="2"/>
        <v>106403.21249999999</v>
      </c>
      <c r="J31" s="187">
        <v>2</v>
      </c>
      <c r="K31" s="187">
        <v>16</v>
      </c>
      <c r="L31" s="187">
        <v>2</v>
      </c>
      <c r="M31" s="230">
        <f t="shared" si="3"/>
        <v>20</v>
      </c>
      <c r="N31" s="232">
        <f t="shared" si="4"/>
        <v>0.1111111111111111</v>
      </c>
      <c r="O31" s="233">
        <f t="shared" si="5"/>
        <v>0.88888888888888884</v>
      </c>
      <c r="P31" s="233">
        <f t="shared" si="6"/>
        <v>0.1111111111111111</v>
      </c>
      <c r="Q31" s="232">
        <f t="shared" si="7"/>
        <v>1.1111111111111112</v>
      </c>
      <c r="R31" s="234">
        <f t="shared" si="8"/>
        <v>11822.579166666665</v>
      </c>
      <c r="S31" s="231">
        <f t="shared" si="9"/>
        <v>94580.633333333317</v>
      </c>
      <c r="T31" s="188">
        <f t="shared" si="10"/>
        <v>11822.579166666665</v>
      </c>
      <c r="U31" s="231">
        <f t="shared" si="11"/>
        <v>118225.79166666664</v>
      </c>
      <c r="V31" s="187">
        <v>2</v>
      </c>
      <c r="W31" s="187">
        <v>20</v>
      </c>
      <c r="X31" s="231">
        <f>((17697/18)*V31)*W31/100</f>
        <v>393.26666666666665</v>
      </c>
      <c r="Y31" s="187">
        <v>14</v>
      </c>
      <c r="Z31" s="187">
        <v>20</v>
      </c>
      <c r="AA31" s="231">
        <f>((F31/18)*Y31)*Z31/100</f>
        <v>2752.8666666666663</v>
      </c>
      <c r="AB31" s="233"/>
      <c r="AC31" s="187"/>
      <c r="AD31" s="238">
        <f t="shared" si="12"/>
        <v>0</v>
      </c>
      <c r="AE31" s="233">
        <v>1</v>
      </c>
      <c r="AF31" s="187">
        <v>20</v>
      </c>
      <c r="AG31" s="231">
        <f>F31*AE31*AF31/100</f>
        <v>3539.4</v>
      </c>
      <c r="AH31" s="233"/>
      <c r="AI31" s="187"/>
      <c r="AJ31" s="231">
        <f>F31*AH31*AI31/100</f>
        <v>0</v>
      </c>
      <c r="AK31" s="232">
        <f t="shared" si="13"/>
        <v>1.1111111111111112</v>
      </c>
      <c r="AL31" s="187">
        <v>40</v>
      </c>
      <c r="AM31" s="231">
        <f t="shared" si="14"/>
        <v>7865.3333333333348</v>
      </c>
      <c r="AN31" s="238"/>
      <c r="AO31" s="187"/>
      <c r="AP31" s="231">
        <f t="shared" si="17"/>
        <v>35467.737499999988</v>
      </c>
      <c r="AQ31" s="187"/>
      <c r="AR31" s="238"/>
      <c r="AS31" s="231">
        <f t="shared" si="15"/>
        <v>61841.183333333327</v>
      </c>
      <c r="AT31" s="231">
        <f t="shared" si="18"/>
        <v>180066.97499999998</v>
      </c>
      <c r="AU31" s="235">
        <f t="shared" si="16"/>
        <v>11822.579166666665</v>
      </c>
      <c r="AV31" s="8"/>
    </row>
    <row r="32" spans="1:51" s="15" customFormat="1" ht="45.75" customHeight="1">
      <c r="A32" s="230">
        <v>24</v>
      </c>
      <c r="B32" s="236" t="s">
        <v>248</v>
      </c>
      <c r="C32" s="237">
        <v>3</v>
      </c>
      <c r="D32" s="237"/>
      <c r="E32" s="188">
        <v>4.9000000000000004</v>
      </c>
      <c r="F32" s="188">
        <v>17697</v>
      </c>
      <c r="G32" s="231">
        <f t="shared" si="0"/>
        <v>86715.3</v>
      </c>
      <c r="H32" s="231">
        <f t="shared" si="1"/>
        <v>21678.825000000001</v>
      </c>
      <c r="I32" s="231">
        <f t="shared" si="2"/>
        <v>108394.125</v>
      </c>
      <c r="J32" s="187"/>
      <c r="K32" s="187">
        <v>10</v>
      </c>
      <c r="L32" s="187"/>
      <c r="M32" s="230">
        <f t="shared" si="3"/>
        <v>10</v>
      </c>
      <c r="N32" s="232">
        <f t="shared" si="4"/>
        <v>0</v>
      </c>
      <c r="O32" s="233">
        <f t="shared" si="5"/>
        <v>0.55555555555555558</v>
      </c>
      <c r="P32" s="233">
        <f t="shared" si="6"/>
        <v>0</v>
      </c>
      <c r="Q32" s="232">
        <f t="shared" si="7"/>
        <v>0.55555555555555558</v>
      </c>
      <c r="R32" s="234">
        <f t="shared" si="8"/>
        <v>0</v>
      </c>
      <c r="S32" s="231">
        <f t="shared" si="9"/>
        <v>60218.958333333336</v>
      </c>
      <c r="T32" s="188">
        <f t="shared" si="10"/>
        <v>0</v>
      </c>
      <c r="U32" s="231">
        <f t="shared" si="11"/>
        <v>60218.958333333336</v>
      </c>
      <c r="V32" s="187"/>
      <c r="W32" s="187"/>
      <c r="X32" s="231"/>
      <c r="Y32" s="187">
        <v>5</v>
      </c>
      <c r="Z32" s="187">
        <v>25</v>
      </c>
      <c r="AA32" s="231">
        <f>((F32/18)*Y32)*Z32/100</f>
        <v>1228.9583333333333</v>
      </c>
      <c r="AB32" s="233"/>
      <c r="AC32" s="187"/>
      <c r="AD32" s="238">
        <f t="shared" si="12"/>
        <v>0</v>
      </c>
      <c r="AE32" s="233"/>
      <c r="AF32" s="187"/>
      <c r="AG32" s="231"/>
      <c r="AH32" s="233"/>
      <c r="AI32" s="187"/>
      <c r="AJ32" s="231">
        <f>F32*AH32*AI32/100</f>
        <v>0</v>
      </c>
      <c r="AK32" s="232">
        <f t="shared" si="13"/>
        <v>0.55555555555555558</v>
      </c>
      <c r="AL32" s="187">
        <v>40</v>
      </c>
      <c r="AM32" s="231">
        <f t="shared" si="14"/>
        <v>3932.6666666666674</v>
      </c>
      <c r="AN32" s="238"/>
      <c r="AO32" s="187"/>
      <c r="AP32" s="231">
        <f t="shared" si="17"/>
        <v>18065.6875</v>
      </c>
      <c r="AQ32" s="187"/>
      <c r="AR32" s="238"/>
      <c r="AS32" s="231">
        <f t="shared" si="15"/>
        <v>29249.208333333336</v>
      </c>
      <c r="AT32" s="231">
        <f t="shared" si="18"/>
        <v>89468.166666666672</v>
      </c>
      <c r="AU32" s="235">
        <f t="shared" si="16"/>
        <v>6021.8958333333339</v>
      </c>
      <c r="AV32" s="8"/>
      <c r="AW32" s="6"/>
      <c r="AX32" s="6"/>
      <c r="AY32" s="6"/>
    </row>
    <row r="33" spans="1:51" s="6" customFormat="1" ht="25.5" customHeight="1">
      <c r="A33" s="61"/>
      <c r="B33" s="267"/>
      <c r="C33" s="267" t="s">
        <v>20</v>
      </c>
      <c r="D33" s="315"/>
      <c r="E33" s="267" t="s">
        <v>20</v>
      </c>
      <c r="F33" s="267" t="s">
        <v>20</v>
      </c>
      <c r="G33" s="62">
        <f t="shared" ref="G33:V33" si="20">SUM(G9:G32)</f>
        <v>2064885.9600000002</v>
      </c>
      <c r="H33" s="62">
        <f t="shared" si="20"/>
        <v>516221.49000000005</v>
      </c>
      <c r="I33" s="62">
        <f t="shared" si="20"/>
        <v>2581107.4499999993</v>
      </c>
      <c r="J33" s="101">
        <f t="shared" si="20"/>
        <v>68</v>
      </c>
      <c r="K33" s="101">
        <f t="shared" si="20"/>
        <v>161</v>
      </c>
      <c r="L33" s="101">
        <f t="shared" si="20"/>
        <v>47</v>
      </c>
      <c r="M33" s="101">
        <f t="shared" si="20"/>
        <v>276</v>
      </c>
      <c r="N33" s="84">
        <f t="shared" si="20"/>
        <v>3.7777777777777777</v>
      </c>
      <c r="O33" s="84">
        <f t="shared" si="20"/>
        <v>8.9444444444444446</v>
      </c>
      <c r="P33" s="101">
        <f t="shared" si="20"/>
        <v>2.6111111111111112</v>
      </c>
      <c r="Q33" s="101">
        <f t="shared" si="20"/>
        <v>15.33333333333333</v>
      </c>
      <c r="R33" s="62">
        <f t="shared" si="20"/>
        <v>418497.18125000002</v>
      </c>
      <c r="S33" s="62">
        <f t="shared" si="20"/>
        <v>969009.06666666677</v>
      </c>
      <c r="T33" s="101">
        <f t="shared" si="20"/>
        <v>278125.56041666667</v>
      </c>
      <c r="U33" s="101">
        <f t="shared" si="20"/>
        <v>1665631.8083333336</v>
      </c>
      <c r="V33" s="101">
        <f t="shared" si="20"/>
        <v>24</v>
      </c>
      <c r="W33" s="101" t="s">
        <v>101</v>
      </c>
      <c r="X33" s="101">
        <f>SUM(X9:X32)</f>
        <v>4964.9916666666659</v>
      </c>
      <c r="Y33" s="101">
        <f>SUM(Y9:Y32)</f>
        <v>69</v>
      </c>
      <c r="Z33" s="101" t="s">
        <v>101</v>
      </c>
      <c r="AA33" s="101">
        <f>SUM(AA9:AA32)</f>
        <v>15091.608333333334</v>
      </c>
      <c r="AB33" s="101">
        <f>SUM(AB9:AB32)</f>
        <v>0</v>
      </c>
      <c r="AC33" s="101">
        <f>SUM(AC9:AC32)</f>
        <v>0</v>
      </c>
      <c r="AD33" s="101">
        <f>SUM(AD9:AD32)</f>
        <v>0</v>
      </c>
      <c r="AE33" s="101">
        <f>SUM(AE9:AE32)</f>
        <v>14</v>
      </c>
      <c r="AF33" s="101" t="s">
        <v>101</v>
      </c>
      <c r="AG33" s="62">
        <f>SUM(AG9:AG32)</f>
        <v>49551.600000000013</v>
      </c>
      <c r="AH33" s="101">
        <f>SUM(AH9:AH32)</f>
        <v>0</v>
      </c>
      <c r="AI33" s="101">
        <f>SUM(AI9:AI32)</f>
        <v>0</v>
      </c>
      <c r="AJ33" s="101">
        <f>SUM(AJ9:AJ32)</f>
        <v>0</v>
      </c>
      <c r="AK33" s="101">
        <f>SUM(AK9:AK32)</f>
        <v>15.33333333333333</v>
      </c>
      <c r="AL33" s="101" t="s">
        <v>101</v>
      </c>
      <c r="AM33" s="101">
        <f t="shared" ref="AM33:AV33" si="21">SUM(AM9:AM32)</f>
        <v>108541.59999999999</v>
      </c>
      <c r="AN33" s="101">
        <f t="shared" si="21"/>
        <v>0</v>
      </c>
      <c r="AO33" s="101">
        <f t="shared" si="21"/>
        <v>0</v>
      </c>
      <c r="AP33" s="101">
        <f t="shared" si="21"/>
        <v>499689.5425000001</v>
      </c>
      <c r="AQ33" s="101">
        <f t="shared" si="21"/>
        <v>0</v>
      </c>
      <c r="AR33" s="101">
        <f t="shared" si="21"/>
        <v>181468</v>
      </c>
      <c r="AS33" s="62">
        <f t="shared" si="21"/>
        <v>1025870.5233333335</v>
      </c>
      <c r="AT33" s="73">
        <f t="shared" si="21"/>
        <v>2691502.331666667</v>
      </c>
      <c r="AU33" s="73">
        <f t="shared" si="21"/>
        <v>166563.18083333338</v>
      </c>
      <c r="AV33" s="73">
        <f t="shared" si="21"/>
        <v>0</v>
      </c>
      <c r="AW33" s="15"/>
      <c r="AX33" s="15"/>
      <c r="AY33" s="15"/>
    </row>
    <row r="34" spans="1:51" s="6" customFormat="1" ht="15" customHeight="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25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</row>
    <row r="35" spans="1:51" s="6" customFormat="1">
      <c r="A35" s="15"/>
      <c r="B35" s="46"/>
      <c r="C35" s="15"/>
      <c r="D35" s="15"/>
      <c r="E35" s="112" t="s">
        <v>210</v>
      </c>
      <c r="F35" s="112"/>
      <c r="G35" s="112"/>
      <c r="H35" s="112"/>
      <c r="I35" s="112"/>
      <c r="J35" s="112"/>
      <c r="K35" s="112"/>
      <c r="L35" s="112"/>
      <c r="M35" s="112"/>
      <c r="N35" s="112"/>
      <c r="O35" s="112" t="s">
        <v>36</v>
      </c>
      <c r="P35" s="112"/>
      <c r="Q35" s="121"/>
      <c r="R35" s="15"/>
      <c r="S35" s="15"/>
      <c r="T35" s="15"/>
      <c r="U35" s="15"/>
      <c r="V35" s="121"/>
      <c r="W35" s="189"/>
      <c r="X35" s="122"/>
      <c r="Y35" s="121"/>
      <c r="Z35" s="189"/>
      <c r="AA35" s="122"/>
      <c r="AB35" s="121"/>
      <c r="AC35" s="15"/>
      <c r="AD35" s="122"/>
      <c r="AE35" s="121"/>
      <c r="AF35" s="15"/>
      <c r="AG35" s="122"/>
      <c r="AH35" s="121"/>
      <c r="AI35" s="15"/>
      <c r="AJ35" s="122"/>
      <c r="AK35" s="121"/>
      <c r="AL35" s="15"/>
      <c r="AM35" s="122"/>
      <c r="AN35" s="121"/>
      <c r="AO35" s="15"/>
      <c r="AP35" s="122"/>
      <c r="AQ35" s="15"/>
      <c r="AR35" s="15"/>
      <c r="AS35" s="15"/>
      <c r="AT35" s="122"/>
      <c r="AU35" s="15"/>
      <c r="AV35" s="15"/>
      <c r="AW35" s="15"/>
      <c r="AX35" s="15"/>
      <c r="AY35" s="15"/>
    </row>
    <row r="36" spans="1:51" s="6" customFormat="1">
      <c r="B36" s="244"/>
      <c r="E36" s="358" t="s">
        <v>26</v>
      </c>
      <c r="F36" s="358"/>
      <c r="G36" s="358"/>
      <c r="H36" s="359"/>
      <c r="I36" s="359"/>
      <c r="J36" s="359"/>
      <c r="K36" s="359"/>
      <c r="L36" s="319"/>
      <c r="M36" s="319"/>
      <c r="N36" s="319"/>
      <c r="O36" s="319"/>
      <c r="P36" s="319"/>
      <c r="Q36" s="189"/>
      <c r="V36" s="189"/>
      <c r="W36" s="189"/>
      <c r="X36" s="100"/>
      <c r="Y36" s="189"/>
      <c r="Z36" s="189"/>
      <c r="AA36" s="100"/>
      <c r="AB36" s="189"/>
      <c r="AD36" s="100"/>
      <c r="AE36" s="189"/>
      <c r="AG36" s="100"/>
      <c r="AH36" s="189"/>
      <c r="AJ36" s="100"/>
      <c r="AK36" s="189"/>
      <c r="AM36" s="100"/>
      <c r="AN36" s="189"/>
      <c r="AP36" s="100"/>
      <c r="AT36" s="100"/>
    </row>
    <row r="37" spans="1:51" s="15" customFormat="1">
      <c r="A37" s="6"/>
      <c r="B37" s="6"/>
      <c r="C37" s="6"/>
      <c r="D37" s="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189"/>
      <c r="R37" s="6"/>
      <c r="S37" s="6"/>
      <c r="T37" s="6"/>
      <c r="U37" s="6"/>
      <c r="V37" s="189"/>
      <c r="W37" s="189"/>
      <c r="X37" s="100"/>
      <c r="Y37" s="189"/>
      <c r="Z37" s="189"/>
      <c r="AA37" s="100"/>
      <c r="AB37" s="189"/>
      <c r="AC37" s="6"/>
      <c r="AD37" s="100"/>
      <c r="AE37" s="189"/>
      <c r="AF37" s="6"/>
      <c r="AG37" s="100"/>
      <c r="AH37" s="189"/>
      <c r="AI37" s="6"/>
      <c r="AJ37" s="100"/>
      <c r="AK37" s="189"/>
      <c r="AL37" s="6"/>
      <c r="AM37" s="100"/>
      <c r="AN37" s="189"/>
      <c r="AO37" s="6"/>
      <c r="AP37" s="100"/>
      <c r="AQ37" s="6"/>
      <c r="AR37" s="6"/>
      <c r="AS37" s="6"/>
      <c r="AT37" s="100"/>
      <c r="AU37" s="6"/>
      <c r="AV37" s="6"/>
      <c r="AW37" s="6"/>
      <c r="AX37" s="6"/>
      <c r="AY37" s="6"/>
    </row>
    <row r="38" spans="1:51" s="6" customFormat="1">
      <c r="A38" s="15"/>
      <c r="B38" s="46"/>
      <c r="C38" s="15"/>
      <c r="D38" s="15"/>
      <c r="E38" s="112" t="s">
        <v>103</v>
      </c>
      <c r="F38" s="112"/>
      <c r="G38" s="112"/>
      <c r="H38" s="112"/>
      <c r="I38" s="112"/>
      <c r="J38" s="112"/>
      <c r="K38" s="112"/>
      <c r="L38" s="112"/>
      <c r="M38" s="112"/>
      <c r="N38" s="112"/>
      <c r="O38" s="112" t="s">
        <v>119</v>
      </c>
      <c r="P38" s="112"/>
      <c r="Q38" s="15"/>
      <c r="R38" s="15"/>
      <c r="S38" s="15"/>
      <c r="T38" s="15"/>
      <c r="U38" s="15"/>
      <c r="V38" s="121"/>
      <c r="W38" s="189"/>
      <c r="X38" s="122"/>
      <c r="Y38" s="121"/>
      <c r="Z38" s="15"/>
      <c r="AA38" s="122"/>
      <c r="AB38" s="121"/>
      <c r="AC38" s="15"/>
      <c r="AD38" s="122"/>
      <c r="AE38" s="121"/>
      <c r="AF38" s="15"/>
      <c r="AG38" s="122"/>
      <c r="AH38" s="121"/>
      <c r="AI38" s="15"/>
      <c r="AJ38" s="122"/>
      <c r="AK38" s="121"/>
      <c r="AL38" s="15"/>
      <c r="AM38" s="122"/>
      <c r="AN38" s="121"/>
      <c r="AO38" s="15"/>
      <c r="AP38" s="122"/>
      <c r="AQ38" s="15"/>
      <c r="AR38" s="15"/>
      <c r="AS38" s="15"/>
      <c r="AT38" s="122"/>
      <c r="AU38" s="15"/>
      <c r="AV38" s="15"/>
      <c r="AW38" s="15"/>
      <c r="AX38" s="15"/>
      <c r="AY38" s="15"/>
    </row>
    <row r="39" spans="1:51" s="6" customFormat="1">
      <c r="B39" s="244"/>
      <c r="E39" s="360" t="s">
        <v>26</v>
      </c>
      <c r="F39" s="360"/>
      <c r="G39" s="360"/>
      <c r="H39" s="361"/>
      <c r="I39" s="361"/>
      <c r="J39" s="361"/>
      <c r="K39" s="361"/>
      <c r="V39" s="189"/>
      <c r="W39" s="189"/>
      <c r="X39" s="100"/>
      <c r="Y39" s="189"/>
      <c r="AA39" s="100"/>
      <c r="AB39" s="189"/>
      <c r="AD39" s="100"/>
      <c r="AE39" s="189"/>
      <c r="AG39" s="100"/>
      <c r="AH39" s="189"/>
      <c r="AJ39" s="100"/>
      <c r="AK39" s="189"/>
      <c r="AM39" s="100"/>
      <c r="AN39" s="189"/>
      <c r="AP39" s="100"/>
      <c r="AT39" s="100"/>
    </row>
    <row r="40" spans="1:51" s="15" customForma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189"/>
      <c r="R40" s="6"/>
      <c r="S40" s="6"/>
      <c r="T40" s="6"/>
      <c r="U40" s="6"/>
      <c r="V40" s="189"/>
      <c r="W40" s="189"/>
      <c r="X40" s="100"/>
      <c r="Y40" s="189"/>
      <c r="Z40" s="189"/>
      <c r="AA40" s="100"/>
      <c r="AB40" s="189"/>
      <c r="AC40" s="6"/>
      <c r="AD40" s="100"/>
      <c r="AE40" s="189"/>
      <c r="AF40" s="6"/>
      <c r="AG40" s="100"/>
      <c r="AH40" s="189"/>
      <c r="AI40" s="6"/>
      <c r="AJ40" s="100"/>
      <c r="AK40" s="189"/>
      <c r="AL40" s="6"/>
      <c r="AM40" s="100"/>
      <c r="AN40" s="189"/>
      <c r="AO40" s="6"/>
      <c r="AP40" s="100"/>
      <c r="AQ40" s="6"/>
      <c r="AR40" s="6"/>
      <c r="AS40" s="6"/>
      <c r="AT40" s="100"/>
      <c r="AU40" s="6"/>
      <c r="AV40" s="6"/>
      <c r="AW40" s="6"/>
      <c r="AX40" s="6"/>
      <c r="AY40" s="6"/>
    </row>
    <row r="41" spans="1:51">
      <c r="A41" s="15"/>
      <c r="B41" s="46"/>
      <c r="C41" s="46"/>
      <c r="D41" s="46"/>
      <c r="E41" s="46"/>
      <c r="F41" s="46"/>
      <c r="G41" s="46"/>
      <c r="H41" s="46"/>
      <c r="I41" s="46"/>
      <c r="J41" s="46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21"/>
      <c r="W41" s="119"/>
      <c r="X41" s="122"/>
      <c r="Y41" s="121"/>
      <c r="Z41" s="15"/>
      <c r="AA41" s="122"/>
      <c r="AB41" s="121"/>
      <c r="AC41" s="15"/>
      <c r="AD41" s="122"/>
      <c r="AE41" s="115"/>
      <c r="AF41" s="5"/>
      <c r="AG41" s="117"/>
      <c r="AH41" s="121"/>
      <c r="AI41" s="15"/>
      <c r="AJ41" s="122"/>
      <c r="AK41" s="121"/>
      <c r="AL41" s="15"/>
      <c r="AM41" s="122"/>
      <c r="AN41" s="121"/>
      <c r="AO41" s="15"/>
      <c r="AP41" s="122"/>
      <c r="AQ41" s="15"/>
      <c r="AR41" s="15"/>
      <c r="AS41" s="15"/>
      <c r="AT41" s="122"/>
      <c r="AU41" s="15"/>
      <c r="AV41" s="15"/>
      <c r="AW41" s="15"/>
      <c r="AX41" s="15"/>
      <c r="AY41" s="15"/>
    </row>
    <row r="42" spans="1:51">
      <c r="B42" s="46"/>
      <c r="C42" s="46"/>
      <c r="D42" s="46"/>
      <c r="E42" s="46"/>
      <c r="F42" s="46"/>
      <c r="G42" s="46"/>
      <c r="H42" s="46"/>
      <c r="I42" s="45"/>
      <c r="J42" s="45"/>
      <c r="K42" s="45"/>
      <c r="L42" s="45"/>
      <c r="V42" s="119"/>
      <c r="W42" s="119"/>
      <c r="X42" s="120"/>
      <c r="Y42" s="119"/>
      <c r="AA42" s="120"/>
      <c r="AB42" s="119"/>
      <c r="AD42" s="120"/>
      <c r="AE42" s="116"/>
      <c r="AG42" s="118"/>
      <c r="AH42" s="119"/>
      <c r="AJ42" s="120"/>
      <c r="AK42" s="119"/>
      <c r="AM42" s="120"/>
      <c r="AN42" s="119"/>
      <c r="AP42" s="120"/>
      <c r="AT42" s="120"/>
    </row>
    <row r="43" spans="1:51">
      <c r="B43" s="241"/>
      <c r="C43" s="45"/>
      <c r="D43" s="45"/>
      <c r="E43" s="354"/>
      <c r="F43" s="354"/>
      <c r="G43" s="354"/>
      <c r="H43" s="45"/>
      <c r="I43" s="45"/>
      <c r="J43" s="45"/>
      <c r="K43" s="45"/>
      <c r="L43" s="45"/>
      <c r="V43" s="119"/>
      <c r="W43" s="119"/>
      <c r="X43" s="120"/>
      <c r="Y43" s="119"/>
      <c r="AA43" s="120"/>
      <c r="AB43" s="119"/>
      <c r="AD43" s="120"/>
      <c r="AE43" s="116"/>
      <c r="AG43" s="118"/>
      <c r="AH43" s="119"/>
      <c r="AJ43" s="120"/>
      <c r="AK43" s="119"/>
      <c r="AM43" s="120"/>
      <c r="AN43" s="119"/>
      <c r="AP43" s="120"/>
      <c r="AT43" s="120"/>
    </row>
    <row r="44" spans="1:51"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Q44" s="119"/>
      <c r="V44" s="119"/>
      <c r="W44" s="119"/>
      <c r="X44" s="120"/>
      <c r="Y44" s="119"/>
      <c r="Z44" s="119"/>
      <c r="AA44" s="120"/>
      <c r="AB44" s="119"/>
      <c r="AD44" s="120"/>
      <c r="AE44" s="116"/>
      <c r="AG44" s="118"/>
      <c r="AH44" s="119"/>
      <c r="AJ44" s="120"/>
      <c r="AK44" s="119"/>
      <c r="AM44" s="120"/>
      <c r="AN44" s="119"/>
      <c r="AP44" s="120"/>
      <c r="AT44" s="120"/>
    </row>
  </sheetData>
  <customSheetViews>
    <customSheetView guid="{04A8CA6F-AD9A-4D5D-9C23-0ABC34EDB569}" scale="75" hiddenColumns="1" showRuler="0" topLeftCell="A13">
      <pane xSplit="3" ySplit="10" topLeftCell="Y23" activePane="bottomRight" state="frozen"/>
      <selection pane="bottomRight" activeCell="AO31" sqref="AO31"/>
      <colBreaks count="1" manualBreakCount="1">
        <brk id="21" max="1048575" man="1"/>
      </colBreaks>
      <pageMargins left="0.17" right="0.18" top="0.32" bottom="0.41" header="0.5" footer="0.5"/>
      <pageSetup paperSize="9" scale="59" orientation="landscape" verticalDpi="0" r:id="rId1"/>
      <headerFooter alignWithMargins="0"/>
    </customSheetView>
  </customSheetViews>
  <mergeCells count="33">
    <mergeCell ref="A5:A7"/>
    <mergeCell ref="C5:C7"/>
    <mergeCell ref="B5:B7"/>
    <mergeCell ref="E43:G43"/>
    <mergeCell ref="M6:M7"/>
    <mergeCell ref="H6:H7"/>
    <mergeCell ref="J6:L6"/>
    <mergeCell ref="E36:K36"/>
    <mergeCell ref="E39:K39"/>
    <mergeCell ref="D6:D7"/>
    <mergeCell ref="AU5:AU7"/>
    <mergeCell ref="AV5:AV7"/>
    <mergeCell ref="AS5:AS7"/>
    <mergeCell ref="AK6:AM6"/>
    <mergeCell ref="AN6:AP6"/>
    <mergeCell ref="AT5:AT7"/>
    <mergeCell ref="V5:AR5"/>
    <mergeCell ref="AQ6:AR6"/>
    <mergeCell ref="AH6:AJ6"/>
    <mergeCell ref="AE6:AG6"/>
    <mergeCell ref="B1:Q3"/>
    <mergeCell ref="AB6:AD6"/>
    <mergeCell ref="Y6:AA6"/>
    <mergeCell ref="V6:X6"/>
    <mergeCell ref="I6:I7"/>
    <mergeCell ref="F6:F7"/>
    <mergeCell ref="G6:G7"/>
    <mergeCell ref="E6:E7"/>
    <mergeCell ref="E5:U5"/>
    <mergeCell ref="N6:P6"/>
    <mergeCell ref="R6:T6"/>
    <mergeCell ref="U6:U7"/>
    <mergeCell ref="Q6:Q7"/>
  </mergeCells>
  <phoneticPr fontId="7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0" fitToWidth="2" fitToHeight="2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AQ130"/>
  <sheetViews>
    <sheetView tabSelected="1" zoomScale="90" zoomScaleNormal="90" workbookViewId="0">
      <selection activeCell="A2" sqref="A2:XFD4"/>
    </sheetView>
  </sheetViews>
  <sheetFormatPr defaultColWidth="9.140625" defaultRowHeight="18"/>
  <cols>
    <col min="1" max="1" width="5" style="33" customWidth="1"/>
    <col min="2" max="2" width="25.42578125" style="33" customWidth="1"/>
    <col min="3" max="3" width="10.42578125" style="33" hidden="1" customWidth="1"/>
    <col min="4" max="4" width="14.5703125" style="33" hidden="1" customWidth="1"/>
    <col min="5" max="5" width="9.5703125" style="33" hidden="1" customWidth="1"/>
    <col min="6" max="6" width="8.140625" style="33" hidden="1" customWidth="1"/>
    <col min="7" max="7" width="8.140625" style="33" customWidth="1"/>
    <col min="8" max="8" width="10.85546875" style="33" customWidth="1"/>
    <col min="9" max="9" width="11.7109375" style="33" customWidth="1"/>
    <col min="10" max="10" width="14" style="33" customWidth="1"/>
    <col min="11" max="11" width="14.140625" style="33" customWidth="1"/>
    <col min="12" max="12" width="14.28515625" style="33" customWidth="1"/>
    <col min="13" max="13" width="12.28515625" style="33" customWidth="1"/>
    <col min="14" max="14" width="13.85546875" style="33" customWidth="1"/>
    <col min="15" max="15" width="18.28515625" style="33" customWidth="1"/>
    <col min="16" max="16" width="7.140625" style="33" hidden="1" customWidth="1"/>
    <col min="17" max="17" width="6.28515625" style="33" hidden="1" customWidth="1"/>
    <col min="18" max="18" width="9.85546875" style="33" hidden="1" customWidth="1"/>
    <col min="19" max="19" width="6.5703125" style="33" hidden="1" customWidth="1"/>
    <col min="20" max="20" width="8.42578125" style="33" hidden="1" customWidth="1"/>
    <col min="21" max="21" width="13" style="33" hidden="1" customWidth="1"/>
    <col min="22" max="22" width="7.140625" style="33" hidden="1" customWidth="1"/>
    <col min="23" max="23" width="7.28515625" style="33" hidden="1" customWidth="1"/>
    <col min="24" max="24" width="11.85546875" style="33" hidden="1" customWidth="1"/>
    <col min="25" max="25" width="8.5703125" style="33" hidden="1" customWidth="1"/>
    <col min="26" max="26" width="5.140625" style="33" hidden="1" customWidth="1"/>
    <col min="27" max="27" width="12" style="33" hidden="1" customWidth="1"/>
    <col min="28" max="32" width="10.42578125" style="130" hidden="1" customWidth="1"/>
    <col min="33" max="33" width="7" style="33" hidden="1" customWidth="1"/>
    <col min="34" max="34" width="5.7109375" style="33" hidden="1" customWidth="1"/>
    <col min="35" max="35" width="12" style="33" hidden="1" customWidth="1"/>
    <col min="36" max="36" width="12.28515625" style="33" customWidth="1"/>
    <col min="37" max="37" width="14.28515625" style="33" customWidth="1"/>
    <col min="38" max="38" width="12.7109375" style="33" hidden="1" customWidth="1"/>
    <col min="39" max="43" width="9.140625" style="33"/>
    <col min="44" max="16384" width="9.140625" style="1"/>
  </cols>
  <sheetData>
    <row r="1" spans="1:43" ht="33.75" customHeight="1">
      <c r="B1" s="165"/>
      <c r="C1" s="364" t="s">
        <v>312</v>
      </c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165"/>
      <c r="Q1" s="164"/>
      <c r="AB1" s="33"/>
      <c r="AC1" s="33"/>
      <c r="AD1" s="33"/>
      <c r="AE1" s="33"/>
      <c r="AF1" s="33"/>
      <c r="AH1" s="166"/>
      <c r="AJ1" s="176" t="s">
        <v>356</v>
      </c>
      <c r="AK1" s="176"/>
      <c r="AL1" s="176"/>
      <c r="AM1" s="176"/>
      <c r="AN1" s="176"/>
      <c r="AO1" s="176"/>
    </row>
    <row r="2" spans="1:43" ht="33.75" hidden="1" customHeight="1">
      <c r="B2" s="165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165"/>
      <c r="Q2" s="164"/>
      <c r="AB2" s="33"/>
      <c r="AC2" s="33"/>
      <c r="AD2" s="33"/>
      <c r="AE2" s="33"/>
      <c r="AF2" s="33"/>
      <c r="AH2" s="166"/>
    </row>
    <row r="3" spans="1:43" ht="33.75" hidden="1" customHeight="1">
      <c r="B3" s="165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165"/>
      <c r="Q3" s="164"/>
      <c r="AB3" s="33"/>
      <c r="AC3" s="33"/>
      <c r="AD3" s="33"/>
      <c r="AE3" s="33"/>
      <c r="AF3" s="33"/>
      <c r="AH3" s="166"/>
    </row>
    <row r="4" spans="1:43" ht="33.75" hidden="1" customHeight="1">
      <c r="B4" s="165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165"/>
      <c r="Q4" s="164"/>
      <c r="AB4" s="33"/>
      <c r="AC4" s="33"/>
      <c r="AD4" s="33"/>
      <c r="AE4" s="33"/>
      <c r="AF4" s="33"/>
      <c r="AH4" s="166"/>
    </row>
    <row r="5" spans="1:43" ht="33.75" customHeight="1">
      <c r="B5" s="165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65"/>
      <c r="Q5" s="164"/>
      <c r="AB5" s="33"/>
      <c r="AC5" s="33"/>
      <c r="AD5" s="33"/>
      <c r="AE5" s="33"/>
      <c r="AF5" s="33"/>
      <c r="AH5" s="166"/>
    </row>
    <row r="6" spans="1:43" ht="25.5" customHeight="1">
      <c r="B6" s="165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165"/>
      <c r="Q6" s="166"/>
      <c r="W6" s="166"/>
      <c r="AB6" s="33"/>
      <c r="AC6" s="33"/>
      <c r="AD6" s="33"/>
      <c r="AE6" s="33"/>
      <c r="AF6" s="33"/>
      <c r="AH6" s="166"/>
    </row>
    <row r="7" spans="1:43" ht="47.25" customHeight="1">
      <c r="B7" s="165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165"/>
      <c r="Q7" s="166"/>
      <c r="T7" s="166"/>
      <c r="W7" s="166"/>
      <c r="Z7" s="166"/>
      <c r="AB7" s="33"/>
      <c r="AC7" s="33"/>
      <c r="AD7" s="33"/>
      <c r="AE7" s="33"/>
      <c r="AF7" s="33"/>
      <c r="AH7" s="167"/>
    </row>
    <row r="8" spans="1:43" ht="52.5" customHeight="1">
      <c r="L8" s="441" t="s">
        <v>357</v>
      </c>
      <c r="M8" s="442"/>
      <c r="N8" s="442"/>
      <c r="O8" s="442"/>
      <c r="P8" s="442"/>
      <c r="Q8" s="442"/>
      <c r="R8" s="442"/>
      <c r="S8" s="442"/>
      <c r="T8" s="442"/>
      <c r="U8" s="442"/>
      <c r="V8" s="442"/>
      <c r="W8" s="442"/>
      <c r="X8" s="442"/>
      <c r="Y8" s="442"/>
      <c r="Z8" s="442"/>
      <c r="AA8" s="442"/>
      <c r="AB8" s="442"/>
      <c r="AC8" s="442"/>
      <c r="AD8" s="442"/>
      <c r="AE8" s="442"/>
      <c r="AF8" s="442"/>
      <c r="AG8" s="442"/>
      <c r="AH8" s="442"/>
      <c r="AI8" s="442"/>
      <c r="AJ8" s="442"/>
      <c r="AK8" s="442"/>
    </row>
    <row r="9" spans="1:43" s="15" customFormat="1" ht="94.5" customHeight="1">
      <c r="A9" s="365"/>
      <c r="B9" s="365" t="s">
        <v>35</v>
      </c>
      <c r="C9" s="365" t="s">
        <v>40</v>
      </c>
      <c r="D9" s="365" t="s">
        <v>1</v>
      </c>
      <c r="E9" s="365" t="s">
        <v>41</v>
      </c>
      <c r="F9" s="365" t="s">
        <v>15</v>
      </c>
      <c r="G9" s="368" t="s">
        <v>246</v>
      </c>
      <c r="H9" s="368" t="s">
        <v>247</v>
      </c>
      <c r="I9" s="368" t="s">
        <v>28</v>
      </c>
      <c r="J9" s="365" t="s">
        <v>24</v>
      </c>
      <c r="K9" s="365" t="s">
        <v>2</v>
      </c>
      <c r="L9" s="365" t="s">
        <v>3</v>
      </c>
      <c r="M9" s="365" t="s">
        <v>10</v>
      </c>
      <c r="N9" s="365" t="s">
        <v>11</v>
      </c>
      <c r="O9" s="368" t="s">
        <v>27</v>
      </c>
      <c r="P9" s="371" t="s">
        <v>13</v>
      </c>
      <c r="Q9" s="372"/>
      <c r="R9" s="373"/>
      <c r="S9" s="371" t="s">
        <v>14</v>
      </c>
      <c r="T9" s="372"/>
      <c r="U9" s="373"/>
      <c r="V9" s="371" t="s">
        <v>29</v>
      </c>
      <c r="W9" s="372"/>
      <c r="X9" s="373"/>
      <c r="Y9" s="371" t="s">
        <v>31</v>
      </c>
      <c r="Z9" s="372"/>
      <c r="AA9" s="373"/>
      <c r="AB9" s="374" t="s">
        <v>32</v>
      </c>
      <c r="AC9" s="375"/>
      <c r="AD9" s="376"/>
      <c r="AE9" s="317" t="s">
        <v>352</v>
      </c>
      <c r="AF9" s="317" t="s">
        <v>353</v>
      </c>
      <c r="AG9" s="371" t="s">
        <v>30</v>
      </c>
      <c r="AH9" s="372"/>
      <c r="AI9" s="373"/>
      <c r="AJ9" s="365" t="s">
        <v>355</v>
      </c>
      <c r="AK9" s="368" t="s">
        <v>354</v>
      </c>
      <c r="AL9" s="365" t="s">
        <v>207</v>
      </c>
      <c r="AM9" s="43"/>
      <c r="AN9" s="43"/>
      <c r="AO9" s="43"/>
      <c r="AP9" s="43"/>
      <c r="AQ9" s="43"/>
    </row>
    <row r="10" spans="1:43" s="34" customFormat="1" ht="85.5" customHeight="1">
      <c r="A10" s="365"/>
      <c r="B10" s="365"/>
      <c r="C10" s="365"/>
      <c r="D10" s="365"/>
      <c r="E10" s="365"/>
      <c r="F10" s="365"/>
      <c r="G10" s="370"/>
      <c r="H10" s="369"/>
      <c r="I10" s="369"/>
      <c r="J10" s="365"/>
      <c r="K10" s="365"/>
      <c r="L10" s="365"/>
      <c r="M10" s="365"/>
      <c r="N10" s="365"/>
      <c r="O10" s="369"/>
      <c r="P10" s="253" t="s">
        <v>39</v>
      </c>
      <c r="Q10" s="168" t="s">
        <v>8</v>
      </c>
      <c r="R10" s="253" t="s">
        <v>12</v>
      </c>
      <c r="S10" s="252" t="s">
        <v>39</v>
      </c>
      <c r="T10" s="169" t="s">
        <v>8</v>
      </c>
      <c r="U10" s="252" t="s">
        <v>12</v>
      </c>
      <c r="V10" s="252" t="s">
        <v>39</v>
      </c>
      <c r="W10" s="169" t="s">
        <v>8</v>
      </c>
      <c r="X10" s="252" t="s">
        <v>12</v>
      </c>
      <c r="Y10" s="263" t="s">
        <v>39</v>
      </c>
      <c r="Z10" s="169" t="s">
        <v>8</v>
      </c>
      <c r="AA10" s="263" t="s">
        <v>12</v>
      </c>
      <c r="AB10" s="252" t="s">
        <v>39</v>
      </c>
      <c r="AC10" s="252" t="s">
        <v>8</v>
      </c>
      <c r="AD10" s="252" t="s">
        <v>12</v>
      </c>
      <c r="AE10" s="316"/>
      <c r="AF10" s="316"/>
      <c r="AG10" s="252" t="s">
        <v>39</v>
      </c>
      <c r="AH10" s="169" t="s">
        <v>8</v>
      </c>
      <c r="AI10" s="252" t="s">
        <v>12</v>
      </c>
      <c r="AJ10" s="365"/>
      <c r="AK10" s="369"/>
      <c r="AL10" s="366"/>
      <c r="AM10" s="125"/>
      <c r="AN10" s="125"/>
      <c r="AO10" s="125"/>
      <c r="AP10" s="125"/>
      <c r="AQ10" s="125"/>
    </row>
    <row r="11" spans="1:43" s="35" customFormat="1" ht="25.9" customHeight="1">
      <c r="A11" s="264"/>
      <c r="B11" s="264">
        <v>3</v>
      </c>
      <c r="C11" s="264">
        <v>4</v>
      </c>
      <c r="D11" s="264">
        <v>5</v>
      </c>
      <c r="E11" s="264">
        <v>6</v>
      </c>
      <c r="F11" s="264">
        <v>7</v>
      </c>
      <c r="G11" s="264"/>
      <c r="H11" s="264">
        <v>8</v>
      </c>
      <c r="I11" s="264">
        <v>9</v>
      </c>
      <c r="J11" s="264">
        <v>10</v>
      </c>
      <c r="K11" s="264">
        <v>11</v>
      </c>
      <c r="L11" s="264">
        <v>12</v>
      </c>
      <c r="M11" s="264">
        <v>13</v>
      </c>
      <c r="N11" s="264">
        <v>14</v>
      </c>
      <c r="O11" s="265">
        <v>15</v>
      </c>
      <c r="P11" s="265">
        <v>16</v>
      </c>
      <c r="Q11" s="170">
        <v>17</v>
      </c>
      <c r="R11" s="264">
        <v>18</v>
      </c>
      <c r="S11" s="264">
        <v>19</v>
      </c>
      <c r="T11" s="170">
        <v>20</v>
      </c>
      <c r="U11" s="264">
        <v>21</v>
      </c>
      <c r="V11" s="264">
        <v>25</v>
      </c>
      <c r="W11" s="264">
        <v>26</v>
      </c>
      <c r="X11" s="264">
        <v>27</v>
      </c>
      <c r="Y11" s="264">
        <v>28</v>
      </c>
      <c r="Z11" s="264">
        <v>29</v>
      </c>
      <c r="AA11" s="264">
        <v>30</v>
      </c>
      <c r="AB11" s="264">
        <v>31</v>
      </c>
      <c r="AC11" s="264">
        <v>32</v>
      </c>
      <c r="AD11" s="264">
        <v>33</v>
      </c>
      <c r="AE11" s="318"/>
      <c r="AF11" s="318"/>
      <c r="AG11" s="264">
        <v>34</v>
      </c>
      <c r="AH11" s="264">
        <v>35</v>
      </c>
      <c r="AI11" s="264">
        <v>36</v>
      </c>
      <c r="AJ11" s="264">
        <v>37</v>
      </c>
      <c r="AK11" s="265">
        <v>38</v>
      </c>
      <c r="AL11" s="264">
        <v>39</v>
      </c>
      <c r="AM11" s="126"/>
      <c r="AN11" s="126"/>
      <c r="AO11" s="126"/>
      <c r="AP11" s="126"/>
      <c r="AQ11" s="126"/>
    </row>
    <row r="12" spans="1:43" s="280" customFormat="1" ht="31.15" customHeight="1">
      <c r="A12" s="198">
        <v>1</v>
      </c>
      <c r="B12" s="198" t="s">
        <v>36</v>
      </c>
      <c r="C12" s="198" t="s">
        <v>44</v>
      </c>
      <c r="D12" s="171" t="s">
        <v>114</v>
      </c>
      <c r="E12" s="277" t="s">
        <v>310</v>
      </c>
      <c r="F12" s="200" t="s">
        <v>48</v>
      </c>
      <c r="G12" s="200" t="s">
        <v>251</v>
      </c>
      <c r="H12" s="201" t="s">
        <v>253</v>
      </c>
      <c r="I12" s="278">
        <v>1</v>
      </c>
      <c r="J12" s="198">
        <v>6.95</v>
      </c>
      <c r="K12" s="171">
        <v>17697</v>
      </c>
      <c r="L12" s="202">
        <f t="shared" ref="L12:L80" si="0">K12*J12*I12</f>
        <v>122994.15000000001</v>
      </c>
      <c r="M12" s="202">
        <f>L12*25/100</f>
        <v>30748.537499999999</v>
      </c>
      <c r="N12" s="202">
        <f t="shared" ref="N12:N80" si="1">L12+M12</f>
        <v>153742.6875</v>
      </c>
      <c r="O12" s="202">
        <f t="shared" ref="O12:O80" si="2">N12</f>
        <v>153742.6875</v>
      </c>
      <c r="P12" s="202"/>
      <c r="Q12" s="198"/>
      <c r="R12" s="202"/>
      <c r="S12" s="203">
        <f>I12</f>
        <v>1</v>
      </c>
      <c r="T12" s="198">
        <v>40</v>
      </c>
      <c r="U12" s="202">
        <f>K12*S12*T12/100</f>
        <v>7078.8</v>
      </c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>
        <f>AI12+AA12+X12+U12+R12+AD12+AL12+AE12+AF12</f>
        <v>22453.068750000002</v>
      </c>
      <c r="AK12" s="202">
        <f>AJ12+O12</f>
        <v>176195.75625000001</v>
      </c>
      <c r="AL12" s="202">
        <f t="shared" ref="AL12:AL84" si="3">N12*10%</f>
        <v>15374.268750000001</v>
      </c>
      <c r="AM12" s="279"/>
      <c r="AN12" s="279"/>
      <c r="AO12" s="279"/>
      <c r="AP12" s="279"/>
      <c r="AQ12" s="279"/>
    </row>
    <row r="13" spans="1:43" s="284" customFormat="1" ht="49.15" customHeight="1">
      <c r="A13" s="198">
        <v>2</v>
      </c>
      <c r="B13" s="171" t="s">
        <v>313</v>
      </c>
      <c r="C13" s="172" t="s">
        <v>44</v>
      </c>
      <c r="D13" s="273" t="s">
        <v>198</v>
      </c>
      <c r="E13" s="172" t="s">
        <v>307</v>
      </c>
      <c r="F13" s="200" t="s">
        <v>48</v>
      </c>
      <c r="G13" s="200" t="s">
        <v>251</v>
      </c>
      <c r="H13" s="201" t="s">
        <v>267</v>
      </c>
      <c r="I13" s="281">
        <v>1</v>
      </c>
      <c r="J13" s="282">
        <v>6.42</v>
      </c>
      <c r="K13" s="171">
        <v>17697</v>
      </c>
      <c r="L13" s="202">
        <f t="shared" si="0"/>
        <v>113614.74</v>
      </c>
      <c r="M13" s="202">
        <f>L13*25/100</f>
        <v>28403.685000000001</v>
      </c>
      <c r="N13" s="202">
        <f t="shared" si="1"/>
        <v>142018.42500000002</v>
      </c>
      <c r="O13" s="202">
        <f t="shared" si="2"/>
        <v>142018.42500000002</v>
      </c>
      <c r="P13" s="203"/>
      <c r="Q13" s="205"/>
      <c r="R13" s="202"/>
      <c r="S13" s="203">
        <f>I13</f>
        <v>1</v>
      </c>
      <c r="T13" s="205">
        <v>40</v>
      </c>
      <c r="U13" s="202">
        <f>K13*S13*T13/100</f>
        <v>7078.8</v>
      </c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>
        <f t="shared" ref="AJ13:AJ76" si="4">AI13+AA13+X13+U13+R13+AD13+AL13+AE13+AF13</f>
        <v>21280.642500000002</v>
      </c>
      <c r="AK13" s="202">
        <f t="shared" ref="AK13:AK43" si="5">AJ13+O13</f>
        <v>163299.0675</v>
      </c>
      <c r="AL13" s="202">
        <f t="shared" si="3"/>
        <v>14201.842500000002</v>
      </c>
      <c r="AM13" s="283"/>
      <c r="AN13" s="283"/>
      <c r="AO13" s="283"/>
      <c r="AP13" s="283"/>
      <c r="AQ13" s="283"/>
    </row>
    <row r="14" spans="1:43" s="58" customFormat="1" ht="31.15" customHeight="1">
      <c r="A14" s="198">
        <v>3</v>
      </c>
      <c r="B14" s="198" t="s">
        <v>67</v>
      </c>
      <c r="C14" s="172" t="s">
        <v>44</v>
      </c>
      <c r="D14" s="171" t="s">
        <v>282</v>
      </c>
      <c r="E14" s="172" t="s">
        <v>314</v>
      </c>
      <c r="F14" s="200" t="s">
        <v>48</v>
      </c>
      <c r="G14" s="200" t="s">
        <v>252</v>
      </c>
      <c r="H14" s="201" t="s">
        <v>253</v>
      </c>
      <c r="I14" s="206">
        <v>1</v>
      </c>
      <c r="J14" s="207">
        <v>5.23</v>
      </c>
      <c r="K14" s="171">
        <v>17697</v>
      </c>
      <c r="L14" s="202">
        <f t="shared" si="0"/>
        <v>92555.310000000012</v>
      </c>
      <c r="M14" s="202"/>
      <c r="N14" s="208">
        <f t="shared" si="1"/>
        <v>92555.310000000012</v>
      </c>
      <c r="O14" s="208">
        <f t="shared" si="2"/>
        <v>92555.310000000012</v>
      </c>
      <c r="P14" s="209"/>
      <c r="Q14" s="172"/>
      <c r="R14" s="202"/>
      <c r="S14" s="203"/>
      <c r="T14" s="172"/>
      <c r="U14" s="202"/>
      <c r="V14" s="202"/>
      <c r="W14" s="208"/>
      <c r="X14" s="202"/>
      <c r="Y14" s="202"/>
      <c r="Z14" s="208"/>
      <c r="AA14" s="208"/>
      <c r="AB14" s="208"/>
      <c r="AC14" s="208"/>
      <c r="AD14" s="208"/>
      <c r="AE14" s="208"/>
      <c r="AF14" s="208"/>
      <c r="AG14" s="208"/>
      <c r="AH14" s="208"/>
      <c r="AI14" s="202"/>
      <c r="AJ14" s="202">
        <f t="shared" si="4"/>
        <v>9255.5310000000009</v>
      </c>
      <c r="AK14" s="202">
        <f t="shared" si="5"/>
        <v>101810.84100000001</v>
      </c>
      <c r="AL14" s="202">
        <f t="shared" si="3"/>
        <v>9255.5310000000009</v>
      </c>
      <c r="AM14" s="127"/>
      <c r="AN14" s="127"/>
      <c r="AO14" s="127"/>
      <c r="AP14" s="127"/>
      <c r="AQ14" s="127"/>
    </row>
    <row r="15" spans="1:43" s="58" customFormat="1" ht="31.15" customHeight="1">
      <c r="A15" s="198">
        <v>4</v>
      </c>
      <c r="B15" s="172" t="s">
        <v>68</v>
      </c>
      <c r="C15" s="172" t="s">
        <v>44</v>
      </c>
      <c r="D15" s="171" t="s">
        <v>208</v>
      </c>
      <c r="E15" s="172" t="s">
        <v>315</v>
      </c>
      <c r="F15" s="200" t="s">
        <v>48</v>
      </c>
      <c r="G15" s="200" t="s">
        <v>252</v>
      </c>
      <c r="H15" s="201" t="s">
        <v>253</v>
      </c>
      <c r="I15" s="206">
        <v>1</v>
      </c>
      <c r="J15" s="172">
        <v>6.33</v>
      </c>
      <c r="K15" s="171">
        <v>17697</v>
      </c>
      <c r="L15" s="202">
        <f t="shared" si="0"/>
        <v>112022.01</v>
      </c>
      <c r="M15" s="202"/>
      <c r="N15" s="208">
        <f t="shared" si="1"/>
        <v>112022.01</v>
      </c>
      <c r="O15" s="208">
        <f t="shared" si="2"/>
        <v>112022.01</v>
      </c>
      <c r="P15" s="209"/>
      <c r="Q15" s="172"/>
      <c r="R15" s="202"/>
      <c r="S15" s="203"/>
      <c r="T15" s="172"/>
      <c r="U15" s="202"/>
      <c r="V15" s="202"/>
      <c r="W15" s="208"/>
      <c r="X15" s="202"/>
      <c r="Y15" s="202"/>
      <c r="Z15" s="208"/>
      <c r="AA15" s="208"/>
      <c r="AB15" s="208"/>
      <c r="AC15" s="208"/>
      <c r="AD15" s="208"/>
      <c r="AE15" s="208"/>
      <c r="AF15" s="208"/>
      <c r="AG15" s="208"/>
      <c r="AH15" s="208"/>
      <c r="AI15" s="202"/>
      <c r="AJ15" s="202">
        <f t="shared" si="4"/>
        <v>11202.201000000001</v>
      </c>
      <c r="AK15" s="202">
        <f t="shared" si="5"/>
        <v>123224.211</v>
      </c>
      <c r="AL15" s="202">
        <f t="shared" si="3"/>
        <v>11202.201000000001</v>
      </c>
      <c r="AM15" s="127"/>
      <c r="AN15" s="127"/>
      <c r="AO15" s="127"/>
      <c r="AP15" s="127"/>
      <c r="AQ15" s="127"/>
    </row>
    <row r="16" spans="1:43" s="58" customFormat="1" ht="31.15" customHeight="1">
      <c r="A16" s="198">
        <v>5</v>
      </c>
      <c r="B16" s="172" t="s">
        <v>197</v>
      </c>
      <c r="C16" s="172" t="s">
        <v>44</v>
      </c>
      <c r="D16" s="171" t="s">
        <v>220</v>
      </c>
      <c r="E16" s="172" t="s">
        <v>316</v>
      </c>
      <c r="F16" s="200" t="s">
        <v>48</v>
      </c>
      <c r="G16" s="200" t="s">
        <v>255</v>
      </c>
      <c r="H16" s="201"/>
      <c r="I16" s="206">
        <v>0.5</v>
      </c>
      <c r="J16" s="172">
        <v>4.46</v>
      </c>
      <c r="K16" s="171">
        <v>17697</v>
      </c>
      <c r="L16" s="202">
        <f t="shared" si="0"/>
        <v>39464.31</v>
      </c>
      <c r="M16" s="202"/>
      <c r="N16" s="208">
        <f t="shared" si="1"/>
        <v>39464.31</v>
      </c>
      <c r="O16" s="208">
        <f t="shared" si="2"/>
        <v>39464.31</v>
      </c>
      <c r="P16" s="209"/>
      <c r="Q16" s="172"/>
      <c r="R16" s="202"/>
      <c r="S16" s="203"/>
      <c r="T16" s="172"/>
      <c r="U16" s="202"/>
      <c r="V16" s="202"/>
      <c r="W16" s="208"/>
      <c r="X16" s="202"/>
      <c r="Y16" s="202"/>
      <c r="Z16" s="208"/>
      <c r="AA16" s="208"/>
      <c r="AB16" s="208"/>
      <c r="AC16" s="208"/>
      <c r="AD16" s="208"/>
      <c r="AE16" s="208"/>
      <c r="AF16" s="208"/>
      <c r="AG16" s="208"/>
      <c r="AH16" s="208"/>
      <c r="AI16" s="202"/>
      <c r="AJ16" s="202">
        <f t="shared" si="4"/>
        <v>3946.431</v>
      </c>
      <c r="AK16" s="202">
        <f t="shared" si="5"/>
        <v>43410.740999999995</v>
      </c>
      <c r="AL16" s="202">
        <f t="shared" si="3"/>
        <v>3946.431</v>
      </c>
      <c r="AM16" s="127"/>
      <c r="AN16" s="127"/>
      <c r="AO16" s="127"/>
      <c r="AP16" s="127"/>
      <c r="AQ16" s="127"/>
    </row>
    <row r="17" spans="1:43" s="58" customFormat="1" ht="31.15" customHeight="1">
      <c r="A17" s="198">
        <v>6</v>
      </c>
      <c r="B17" s="172" t="s">
        <v>116</v>
      </c>
      <c r="C17" s="172" t="s">
        <v>44</v>
      </c>
      <c r="D17" s="171" t="s">
        <v>220</v>
      </c>
      <c r="E17" s="172" t="s">
        <v>316</v>
      </c>
      <c r="F17" s="200" t="s">
        <v>48</v>
      </c>
      <c r="G17" s="200" t="s">
        <v>255</v>
      </c>
      <c r="H17" s="201"/>
      <c r="I17" s="206">
        <v>1</v>
      </c>
      <c r="J17" s="172">
        <v>4.46</v>
      </c>
      <c r="K17" s="171">
        <v>17697</v>
      </c>
      <c r="L17" s="202">
        <f t="shared" si="0"/>
        <v>78928.62</v>
      </c>
      <c r="M17" s="202"/>
      <c r="N17" s="208">
        <f t="shared" si="1"/>
        <v>78928.62</v>
      </c>
      <c r="O17" s="208">
        <f t="shared" si="2"/>
        <v>78928.62</v>
      </c>
      <c r="P17" s="209"/>
      <c r="Q17" s="172"/>
      <c r="R17" s="202"/>
      <c r="S17" s="203"/>
      <c r="T17" s="172"/>
      <c r="U17" s="202"/>
      <c r="V17" s="202"/>
      <c r="W17" s="208"/>
      <c r="X17" s="202"/>
      <c r="Y17" s="202"/>
      <c r="Z17" s="208"/>
      <c r="AA17" s="208"/>
      <c r="AB17" s="208"/>
      <c r="AC17" s="208"/>
      <c r="AD17" s="208"/>
      <c r="AE17" s="208"/>
      <c r="AF17" s="208"/>
      <c r="AG17" s="208"/>
      <c r="AH17" s="208"/>
      <c r="AI17" s="202"/>
      <c r="AJ17" s="202">
        <f t="shared" si="4"/>
        <v>7892.8620000000001</v>
      </c>
      <c r="AK17" s="202">
        <f t="shared" si="5"/>
        <v>86821.481999999989</v>
      </c>
      <c r="AL17" s="202">
        <f t="shared" si="3"/>
        <v>7892.8620000000001</v>
      </c>
      <c r="AM17" s="127"/>
      <c r="AN17" s="127"/>
      <c r="AO17" s="127"/>
      <c r="AP17" s="127"/>
      <c r="AQ17" s="127"/>
    </row>
    <row r="18" spans="1:43" s="58" customFormat="1" ht="31.15" customHeight="1">
      <c r="A18" s="198">
        <v>7</v>
      </c>
      <c r="B18" s="172" t="s">
        <v>197</v>
      </c>
      <c r="C18" s="172" t="s">
        <v>44</v>
      </c>
      <c r="D18" s="171"/>
      <c r="E18" s="172" t="s">
        <v>285</v>
      </c>
      <c r="F18" s="200" t="s">
        <v>48</v>
      </c>
      <c r="G18" s="200" t="s">
        <v>255</v>
      </c>
      <c r="H18" s="201"/>
      <c r="I18" s="206">
        <v>0.5</v>
      </c>
      <c r="J18" s="172">
        <v>4.0999999999999996</v>
      </c>
      <c r="K18" s="171">
        <v>17697</v>
      </c>
      <c r="L18" s="202">
        <f t="shared" ref="L18" si="6">K18*J18*I18</f>
        <v>36278.85</v>
      </c>
      <c r="M18" s="202"/>
      <c r="N18" s="208">
        <f t="shared" ref="N18" si="7">L18+M18</f>
        <v>36278.85</v>
      </c>
      <c r="O18" s="208">
        <f t="shared" ref="O18" si="8">N18</f>
        <v>36278.85</v>
      </c>
      <c r="P18" s="209"/>
      <c r="Q18" s="172"/>
      <c r="R18" s="202"/>
      <c r="S18" s="203"/>
      <c r="T18" s="172"/>
      <c r="U18" s="202"/>
      <c r="V18" s="202"/>
      <c r="W18" s="208"/>
      <c r="X18" s="202"/>
      <c r="Y18" s="202"/>
      <c r="Z18" s="208"/>
      <c r="AA18" s="208"/>
      <c r="AB18" s="208"/>
      <c r="AC18" s="208"/>
      <c r="AD18" s="208"/>
      <c r="AE18" s="208"/>
      <c r="AF18" s="208"/>
      <c r="AG18" s="208"/>
      <c r="AH18" s="208"/>
      <c r="AI18" s="202"/>
      <c r="AJ18" s="202">
        <f t="shared" si="4"/>
        <v>3627.8850000000002</v>
      </c>
      <c r="AK18" s="202">
        <f t="shared" si="5"/>
        <v>39906.735000000001</v>
      </c>
      <c r="AL18" s="202">
        <f t="shared" ref="AL18" si="9">N18*10%</f>
        <v>3627.8850000000002</v>
      </c>
      <c r="AM18" s="127"/>
      <c r="AN18" s="127"/>
      <c r="AO18" s="127"/>
      <c r="AP18" s="127"/>
      <c r="AQ18" s="127"/>
    </row>
    <row r="19" spans="1:43" s="58" customFormat="1" ht="31.15" customHeight="1">
      <c r="A19" s="198">
        <v>8</v>
      </c>
      <c r="B19" s="172" t="s">
        <v>102</v>
      </c>
      <c r="C19" s="172" t="s">
        <v>44</v>
      </c>
      <c r="D19" s="171"/>
      <c r="E19" s="172" t="s">
        <v>285</v>
      </c>
      <c r="F19" s="210" t="s">
        <v>48</v>
      </c>
      <c r="G19" s="200" t="s">
        <v>257</v>
      </c>
      <c r="H19" s="201"/>
      <c r="I19" s="206">
        <v>1</v>
      </c>
      <c r="J19" s="172">
        <v>4.0999999999999996</v>
      </c>
      <c r="K19" s="171">
        <v>17697</v>
      </c>
      <c r="L19" s="202">
        <f t="shared" si="0"/>
        <v>72557.7</v>
      </c>
      <c r="M19" s="202"/>
      <c r="N19" s="208">
        <f t="shared" si="1"/>
        <v>72557.7</v>
      </c>
      <c r="O19" s="208">
        <f t="shared" si="2"/>
        <v>72557.7</v>
      </c>
      <c r="P19" s="209"/>
      <c r="Q19" s="172"/>
      <c r="R19" s="202"/>
      <c r="S19" s="203"/>
      <c r="T19" s="172"/>
      <c r="U19" s="202"/>
      <c r="V19" s="202"/>
      <c r="W19" s="208"/>
      <c r="X19" s="202"/>
      <c r="Y19" s="202"/>
      <c r="Z19" s="208"/>
      <c r="AA19" s="208"/>
      <c r="AB19" s="208"/>
      <c r="AC19" s="208"/>
      <c r="AD19" s="208"/>
      <c r="AE19" s="208"/>
      <c r="AF19" s="208"/>
      <c r="AG19" s="208"/>
      <c r="AH19" s="208"/>
      <c r="AI19" s="202"/>
      <c r="AJ19" s="202">
        <f t="shared" si="4"/>
        <v>7255.77</v>
      </c>
      <c r="AK19" s="202">
        <f t="shared" si="5"/>
        <v>79813.47</v>
      </c>
      <c r="AL19" s="202">
        <f t="shared" si="3"/>
        <v>7255.77</v>
      </c>
      <c r="AM19" s="127"/>
      <c r="AN19" s="127"/>
      <c r="AO19" s="127"/>
      <c r="AP19" s="127"/>
      <c r="AQ19" s="127"/>
    </row>
    <row r="20" spans="1:43" s="58" customFormat="1" ht="31.15" customHeight="1">
      <c r="A20" s="198">
        <v>9</v>
      </c>
      <c r="B20" s="198" t="s">
        <v>145</v>
      </c>
      <c r="C20" s="172" t="s">
        <v>47</v>
      </c>
      <c r="D20" s="285" t="s">
        <v>111</v>
      </c>
      <c r="E20" s="172" t="s">
        <v>317</v>
      </c>
      <c r="F20" s="200" t="s">
        <v>244</v>
      </c>
      <c r="G20" s="200" t="s">
        <v>254</v>
      </c>
      <c r="H20" s="201"/>
      <c r="I20" s="206">
        <v>1</v>
      </c>
      <c r="J20" s="172">
        <v>3.68</v>
      </c>
      <c r="K20" s="171">
        <v>17697</v>
      </c>
      <c r="L20" s="202">
        <f t="shared" ref="L20" si="10">K20*J20*I20</f>
        <v>65124.960000000006</v>
      </c>
      <c r="M20" s="202">
        <f>L20*25/100</f>
        <v>16281.240000000002</v>
      </c>
      <c r="N20" s="208">
        <f t="shared" ref="N20" si="11">L20+M20</f>
        <v>81406.200000000012</v>
      </c>
      <c r="O20" s="208">
        <f t="shared" ref="O20" si="12">N20</f>
        <v>81406.200000000012</v>
      </c>
      <c r="P20" s="209">
        <v>1</v>
      </c>
      <c r="Q20" s="172">
        <v>30</v>
      </c>
      <c r="R20" s="202">
        <f>K20*P20*Q20/100</f>
        <v>5309.1</v>
      </c>
      <c r="S20" s="203"/>
      <c r="T20" s="172"/>
      <c r="U20" s="202"/>
      <c r="V20" s="202"/>
      <c r="W20" s="208"/>
      <c r="X20" s="202"/>
      <c r="Y20" s="202"/>
      <c r="Z20" s="208"/>
      <c r="AA20" s="208"/>
      <c r="AB20" s="208"/>
      <c r="AC20" s="208"/>
      <c r="AD20" s="208"/>
      <c r="AE20" s="208"/>
      <c r="AF20" s="208"/>
      <c r="AG20" s="208"/>
      <c r="AH20" s="208"/>
      <c r="AI20" s="202"/>
      <c r="AJ20" s="202">
        <f t="shared" si="4"/>
        <v>13449.720000000001</v>
      </c>
      <c r="AK20" s="202">
        <f t="shared" si="5"/>
        <v>94855.920000000013</v>
      </c>
      <c r="AL20" s="202">
        <f t="shared" ref="AL20" si="13">N20*10%</f>
        <v>8140.6200000000017</v>
      </c>
      <c r="AM20" s="127"/>
      <c r="AN20" s="127"/>
      <c r="AO20" s="127"/>
      <c r="AP20" s="127"/>
      <c r="AQ20" s="127"/>
    </row>
    <row r="21" spans="1:43" s="6" customFormat="1" ht="31.15" customHeight="1">
      <c r="A21" s="198">
        <v>10</v>
      </c>
      <c r="B21" s="172" t="s">
        <v>54</v>
      </c>
      <c r="C21" s="172" t="s">
        <v>44</v>
      </c>
      <c r="D21" s="240" t="s">
        <v>268</v>
      </c>
      <c r="E21" s="187" t="s">
        <v>305</v>
      </c>
      <c r="F21" s="200" t="s">
        <v>49</v>
      </c>
      <c r="G21" s="200" t="s">
        <v>300</v>
      </c>
      <c r="H21" s="201" t="s">
        <v>259</v>
      </c>
      <c r="I21" s="206">
        <v>1</v>
      </c>
      <c r="J21" s="172">
        <v>5.16</v>
      </c>
      <c r="K21" s="171">
        <v>17697</v>
      </c>
      <c r="L21" s="202">
        <f>K21*J21*I21</f>
        <v>91316.52</v>
      </c>
      <c r="M21" s="202">
        <f>L21*25/100</f>
        <v>22829.13</v>
      </c>
      <c r="N21" s="208">
        <f>L21+M21</f>
        <v>114145.65000000001</v>
      </c>
      <c r="O21" s="208">
        <f>N21</f>
        <v>114145.65000000001</v>
      </c>
      <c r="P21" s="209"/>
      <c r="Q21" s="172"/>
      <c r="R21" s="202"/>
      <c r="S21" s="203">
        <f>I21</f>
        <v>1</v>
      </c>
      <c r="T21" s="172">
        <v>40</v>
      </c>
      <c r="U21" s="202">
        <f>K21*S21*T21/100</f>
        <v>7078.8</v>
      </c>
      <c r="V21" s="202"/>
      <c r="W21" s="208"/>
      <c r="X21" s="202"/>
      <c r="Y21" s="202"/>
      <c r="Z21" s="208"/>
      <c r="AA21" s="208"/>
      <c r="AB21" s="208"/>
      <c r="AC21" s="208"/>
      <c r="AD21" s="208"/>
      <c r="AE21" s="208"/>
      <c r="AF21" s="208"/>
      <c r="AG21" s="208"/>
      <c r="AH21" s="208"/>
      <c r="AI21" s="202"/>
      <c r="AJ21" s="202">
        <f t="shared" si="4"/>
        <v>18493.365000000002</v>
      </c>
      <c r="AK21" s="202">
        <f t="shared" si="5"/>
        <v>132639.01500000001</v>
      </c>
      <c r="AL21" s="202">
        <f>N21*10%</f>
        <v>11414.565000000002</v>
      </c>
      <c r="AM21" s="33"/>
      <c r="AN21" s="33"/>
      <c r="AO21" s="33"/>
      <c r="AP21" s="33"/>
      <c r="AQ21" s="33"/>
    </row>
    <row r="22" spans="1:43" s="6" customFormat="1" ht="31.15" customHeight="1">
      <c r="A22" s="198">
        <v>11</v>
      </c>
      <c r="B22" s="172" t="s">
        <v>55</v>
      </c>
      <c r="C22" s="172" t="s">
        <v>44</v>
      </c>
      <c r="D22" s="171" t="s">
        <v>113</v>
      </c>
      <c r="E22" s="211" t="s">
        <v>306</v>
      </c>
      <c r="F22" s="200" t="s">
        <v>49</v>
      </c>
      <c r="G22" s="200" t="s">
        <v>258</v>
      </c>
      <c r="H22" s="201" t="s">
        <v>259</v>
      </c>
      <c r="I22" s="206">
        <v>1</v>
      </c>
      <c r="J22" s="172">
        <v>4.3600000000000003</v>
      </c>
      <c r="K22" s="171">
        <v>17697</v>
      </c>
      <c r="L22" s="202">
        <f>K22*J22*I22</f>
        <v>77158.920000000013</v>
      </c>
      <c r="M22" s="202">
        <f>L22*25/100</f>
        <v>19289.730000000003</v>
      </c>
      <c r="N22" s="208">
        <f>L22+M22</f>
        <v>96448.650000000023</v>
      </c>
      <c r="O22" s="208">
        <f>N22</f>
        <v>96448.650000000023</v>
      </c>
      <c r="P22" s="209"/>
      <c r="Q22" s="172"/>
      <c r="R22" s="202"/>
      <c r="S22" s="203">
        <f>I22</f>
        <v>1</v>
      </c>
      <c r="T22" s="172">
        <v>30</v>
      </c>
      <c r="U22" s="202">
        <f>K22*S22*T22/100</f>
        <v>5309.1</v>
      </c>
      <c r="V22" s="202"/>
      <c r="W22" s="208"/>
      <c r="X22" s="202"/>
      <c r="Y22" s="202"/>
      <c r="Z22" s="208"/>
      <c r="AA22" s="208"/>
      <c r="AB22" s="208"/>
      <c r="AC22" s="208"/>
      <c r="AD22" s="208"/>
      <c r="AE22" s="208"/>
      <c r="AF22" s="208"/>
      <c r="AG22" s="208"/>
      <c r="AH22" s="208"/>
      <c r="AI22" s="202"/>
      <c r="AJ22" s="202">
        <f t="shared" si="4"/>
        <v>14953.965000000004</v>
      </c>
      <c r="AK22" s="202">
        <f t="shared" si="5"/>
        <v>111402.61500000002</v>
      </c>
      <c r="AL22" s="202">
        <f>N22*10%</f>
        <v>9644.8650000000034</v>
      </c>
      <c r="AM22" s="33"/>
      <c r="AN22" s="33"/>
      <c r="AO22" s="33"/>
      <c r="AP22" s="33"/>
      <c r="AQ22" s="33"/>
    </row>
    <row r="23" spans="1:43" s="6" customFormat="1" ht="31.15" customHeight="1">
      <c r="A23" s="198">
        <v>12</v>
      </c>
      <c r="B23" s="172" t="s">
        <v>83</v>
      </c>
      <c r="C23" s="172" t="s">
        <v>44</v>
      </c>
      <c r="D23" s="273" t="s">
        <v>291</v>
      </c>
      <c r="E23" s="172" t="s">
        <v>320</v>
      </c>
      <c r="F23" s="200" t="s">
        <v>48</v>
      </c>
      <c r="G23" s="200" t="s">
        <v>255</v>
      </c>
      <c r="H23" s="201"/>
      <c r="I23" s="286">
        <v>0.25</v>
      </c>
      <c r="J23" s="203">
        <v>4.83</v>
      </c>
      <c r="K23" s="171">
        <v>17697</v>
      </c>
      <c r="L23" s="202">
        <f>K23*J23*I23</f>
        <v>21369.127499999999</v>
      </c>
      <c r="M23" s="202">
        <f>L23*25/100</f>
        <v>5342.2818749999997</v>
      </c>
      <c r="N23" s="202">
        <f>L23+M23</f>
        <v>26711.409374999999</v>
      </c>
      <c r="O23" s="202">
        <f>N23</f>
        <v>26711.409374999999</v>
      </c>
      <c r="P23" s="209"/>
      <c r="Q23" s="172"/>
      <c r="R23" s="202"/>
      <c r="S23" s="203"/>
      <c r="T23" s="172"/>
      <c r="U23" s="202"/>
      <c r="V23" s="202"/>
      <c r="W23" s="208"/>
      <c r="X23" s="202"/>
      <c r="Y23" s="203"/>
      <c r="Z23" s="208"/>
      <c r="AA23" s="208"/>
      <c r="AB23" s="208"/>
      <c r="AC23" s="208"/>
      <c r="AD23" s="208"/>
      <c r="AE23" s="208"/>
      <c r="AF23" s="208"/>
      <c r="AG23" s="208"/>
      <c r="AH23" s="208"/>
      <c r="AI23" s="202"/>
      <c r="AJ23" s="202">
        <f t="shared" si="4"/>
        <v>2671.1409375000003</v>
      </c>
      <c r="AK23" s="202">
        <f t="shared" si="5"/>
        <v>29382.5503125</v>
      </c>
      <c r="AL23" s="202">
        <f>N23*10%</f>
        <v>2671.1409375000003</v>
      </c>
      <c r="AM23" s="33"/>
      <c r="AN23" s="33"/>
      <c r="AO23" s="33"/>
      <c r="AP23" s="33"/>
      <c r="AQ23" s="33"/>
    </row>
    <row r="24" spans="1:43" s="6" customFormat="1" ht="31.15" customHeight="1">
      <c r="A24" s="198">
        <v>13</v>
      </c>
      <c r="B24" s="198" t="s">
        <v>83</v>
      </c>
      <c r="C24" s="204" t="s">
        <v>44</v>
      </c>
      <c r="D24" s="171" t="s">
        <v>204</v>
      </c>
      <c r="E24" s="172" t="s">
        <v>309</v>
      </c>
      <c r="F24" s="200" t="s">
        <v>48</v>
      </c>
      <c r="G24" s="200" t="s">
        <v>255</v>
      </c>
      <c r="H24" s="201"/>
      <c r="I24" s="286">
        <v>0.25</v>
      </c>
      <c r="J24" s="203">
        <v>4.71</v>
      </c>
      <c r="K24" s="171">
        <v>17697</v>
      </c>
      <c r="L24" s="202">
        <f>K24*J24*I24</f>
        <v>20838.217499999999</v>
      </c>
      <c r="M24" s="202">
        <f>L24*25/100</f>
        <v>5209.5543749999997</v>
      </c>
      <c r="N24" s="202">
        <f>L24+M24</f>
        <v>26047.771874999999</v>
      </c>
      <c r="O24" s="202">
        <f>N24</f>
        <v>26047.771874999999</v>
      </c>
      <c r="P24" s="209"/>
      <c r="Q24" s="172"/>
      <c r="R24" s="202"/>
      <c r="S24" s="203"/>
      <c r="T24" s="172"/>
      <c r="U24" s="202"/>
      <c r="V24" s="202"/>
      <c r="W24" s="208"/>
      <c r="X24" s="202"/>
      <c r="Y24" s="203"/>
      <c r="Z24" s="208"/>
      <c r="AA24" s="208"/>
      <c r="AB24" s="208"/>
      <c r="AC24" s="208"/>
      <c r="AD24" s="208"/>
      <c r="AE24" s="208"/>
      <c r="AF24" s="208"/>
      <c r="AG24" s="208"/>
      <c r="AH24" s="208"/>
      <c r="AI24" s="202"/>
      <c r="AJ24" s="202">
        <f t="shared" si="4"/>
        <v>2604.7771874999999</v>
      </c>
      <c r="AK24" s="202">
        <f t="shared" si="5"/>
        <v>28652.549062499998</v>
      </c>
      <c r="AL24" s="202">
        <f>N24*10%</f>
        <v>2604.7771874999999</v>
      </c>
      <c r="AM24" s="33"/>
      <c r="AN24" s="33"/>
      <c r="AO24" s="33"/>
      <c r="AP24" s="33"/>
      <c r="AQ24" s="33"/>
    </row>
    <row r="25" spans="1:43" s="6" customFormat="1" ht="31.15" customHeight="1">
      <c r="A25" s="198">
        <v>14</v>
      </c>
      <c r="B25" s="172" t="s">
        <v>56</v>
      </c>
      <c r="C25" s="172" t="s">
        <v>44</v>
      </c>
      <c r="D25" s="212" t="s">
        <v>168</v>
      </c>
      <c r="E25" s="172" t="s">
        <v>303</v>
      </c>
      <c r="F25" s="210" t="s">
        <v>48</v>
      </c>
      <c r="G25" s="200" t="s">
        <v>255</v>
      </c>
      <c r="H25" s="201"/>
      <c r="I25" s="206">
        <v>0.5</v>
      </c>
      <c r="J25" s="172">
        <v>4.83</v>
      </c>
      <c r="K25" s="171">
        <v>17697</v>
      </c>
      <c r="L25" s="202">
        <f t="shared" si="0"/>
        <v>42738.254999999997</v>
      </c>
      <c r="M25" s="202"/>
      <c r="N25" s="208">
        <f t="shared" si="1"/>
        <v>42738.254999999997</v>
      </c>
      <c r="O25" s="208">
        <f t="shared" si="2"/>
        <v>42738.254999999997</v>
      </c>
      <c r="P25" s="209"/>
      <c r="Q25" s="172"/>
      <c r="R25" s="202"/>
      <c r="S25" s="203"/>
      <c r="T25" s="172"/>
      <c r="U25" s="202"/>
      <c r="V25" s="202"/>
      <c r="W25" s="208"/>
      <c r="X25" s="202"/>
      <c r="Y25" s="202"/>
      <c r="Z25" s="208"/>
      <c r="AA25" s="208"/>
      <c r="AB25" s="208"/>
      <c r="AC25" s="208"/>
      <c r="AD25" s="208"/>
      <c r="AE25" s="208"/>
      <c r="AF25" s="208"/>
      <c r="AG25" s="208"/>
      <c r="AH25" s="208"/>
      <c r="AI25" s="202"/>
      <c r="AJ25" s="202">
        <f t="shared" si="4"/>
        <v>4273.8254999999999</v>
      </c>
      <c r="AK25" s="202">
        <f t="shared" si="5"/>
        <v>47012.080499999996</v>
      </c>
      <c r="AL25" s="202">
        <f t="shared" si="3"/>
        <v>4273.8254999999999</v>
      </c>
      <c r="AM25" s="33"/>
      <c r="AN25" s="33"/>
      <c r="AO25" s="33"/>
      <c r="AP25" s="33"/>
      <c r="AQ25" s="33"/>
    </row>
    <row r="26" spans="1:43" s="6" customFormat="1" ht="28.15" customHeight="1">
      <c r="A26" s="198">
        <v>15</v>
      </c>
      <c r="B26" s="188" t="s">
        <v>332</v>
      </c>
      <c r="C26" s="187" t="s">
        <v>47</v>
      </c>
      <c r="D26" s="275" t="s">
        <v>311</v>
      </c>
      <c r="E26" s="276" t="s">
        <v>333</v>
      </c>
      <c r="F26" s="187" t="s">
        <v>48</v>
      </c>
      <c r="G26" s="236" t="s">
        <v>249</v>
      </c>
      <c r="H26" s="237">
        <v>4</v>
      </c>
      <c r="I26" s="206">
        <v>1</v>
      </c>
      <c r="J26" s="172">
        <v>3.45</v>
      </c>
      <c r="K26" s="171">
        <v>17697</v>
      </c>
      <c r="L26" s="202">
        <f t="shared" ref="L26" si="14">K26*J26*I26</f>
        <v>61054.65</v>
      </c>
      <c r="M26" s="202">
        <f t="shared" ref="M26" si="15">L26*25/100</f>
        <v>15263.6625</v>
      </c>
      <c r="N26" s="208">
        <f t="shared" ref="N26" si="16">L26+M26</f>
        <v>76318.3125</v>
      </c>
      <c r="O26" s="208">
        <f t="shared" ref="O26" si="17">N26</f>
        <v>76318.3125</v>
      </c>
      <c r="P26" s="209"/>
      <c r="Q26" s="172"/>
      <c r="R26" s="202"/>
      <c r="S26" s="203">
        <f t="shared" ref="S26" si="18">I26</f>
        <v>1</v>
      </c>
      <c r="T26" s="172">
        <v>40</v>
      </c>
      <c r="U26" s="202">
        <f t="shared" ref="U26" si="19">K26*S26*T26/100</f>
        <v>7078.8</v>
      </c>
      <c r="V26" s="202"/>
      <c r="W26" s="208"/>
      <c r="X26" s="202"/>
      <c r="Y26" s="202"/>
      <c r="Z26" s="208"/>
      <c r="AA26" s="208"/>
      <c r="AB26" s="208"/>
      <c r="AC26" s="208"/>
      <c r="AD26" s="208"/>
      <c r="AE26" s="208"/>
      <c r="AF26" s="208"/>
      <c r="AG26" s="208"/>
      <c r="AH26" s="208"/>
      <c r="AI26" s="202"/>
      <c r="AJ26" s="202">
        <f t="shared" si="4"/>
        <v>14710.63125</v>
      </c>
      <c r="AK26" s="202">
        <f t="shared" si="5"/>
        <v>91028.943750000006</v>
      </c>
      <c r="AL26" s="202">
        <f t="shared" ref="AL26" si="20">N26*10%</f>
        <v>7631.8312500000002</v>
      </c>
      <c r="AM26" s="33"/>
      <c r="AN26" s="33"/>
      <c r="AO26" s="33"/>
      <c r="AP26" s="33"/>
      <c r="AQ26" s="33"/>
    </row>
    <row r="27" spans="1:43" s="6" customFormat="1" ht="31.15" customHeight="1">
      <c r="A27" s="198">
        <v>16</v>
      </c>
      <c r="B27" s="171" t="s">
        <v>203</v>
      </c>
      <c r="C27" s="172" t="s">
        <v>44</v>
      </c>
      <c r="D27" s="171"/>
      <c r="E27" s="172" t="s">
        <v>229</v>
      </c>
      <c r="F27" s="210" t="s">
        <v>48</v>
      </c>
      <c r="G27" s="200" t="s">
        <v>250</v>
      </c>
      <c r="H27" s="201" t="s">
        <v>84</v>
      </c>
      <c r="I27" s="206">
        <v>1</v>
      </c>
      <c r="J27" s="172">
        <v>4.28</v>
      </c>
      <c r="K27" s="171">
        <v>17697</v>
      </c>
      <c r="L27" s="202">
        <f>K27*J27*I27</f>
        <v>75743.16</v>
      </c>
      <c r="M27" s="202">
        <f>L27*25/100</f>
        <v>18935.79</v>
      </c>
      <c r="N27" s="208">
        <f>L27+M27</f>
        <v>94678.950000000012</v>
      </c>
      <c r="O27" s="208">
        <f>N27</f>
        <v>94678.950000000012</v>
      </c>
      <c r="P27" s="209"/>
      <c r="Q27" s="172"/>
      <c r="R27" s="202"/>
      <c r="S27" s="203">
        <f>I27</f>
        <v>1</v>
      </c>
      <c r="T27" s="172">
        <v>40</v>
      </c>
      <c r="U27" s="202">
        <f>K27*S27*T27/100</f>
        <v>7078.8</v>
      </c>
      <c r="V27" s="202"/>
      <c r="W27" s="208"/>
      <c r="X27" s="202"/>
      <c r="Y27" s="202"/>
      <c r="Z27" s="208"/>
      <c r="AA27" s="208"/>
      <c r="AB27" s="208"/>
      <c r="AC27" s="208"/>
      <c r="AD27" s="208"/>
      <c r="AE27" s="208"/>
      <c r="AF27" s="208"/>
      <c r="AG27" s="208"/>
      <c r="AH27" s="208"/>
      <c r="AI27" s="202"/>
      <c r="AJ27" s="202">
        <f t="shared" si="4"/>
        <v>16546.695000000003</v>
      </c>
      <c r="AK27" s="202">
        <f t="shared" si="5"/>
        <v>111225.64500000002</v>
      </c>
      <c r="AL27" s="202">
        <f>N27*10%</f>
        <v>9467.8950000000023</v>
      </c>
      <c r="AM27" s="33"/>
      <c r="AN27" s="33"/>
      <c r="AO27" s="33"/>
      <c r="AP27" s="33"/>
      <c r="AQ27" s="33"/>
    </row>
    <row r="28" spans="1:43" s="6" customFormat="1" ht="31.15" customHeight="1">
      <c r="A28" s="198">
        <v>17</v>
      </c>
      <c r="B28" s="172" t="s">
        <v>69</v>
      </c>
      <c r="C28" s="172" t="s">
        <v>50</v>
      </c>
      <c r="D28" s="210" t="s">
        <v>46</v>
      </c>
      <c r="E28" s="172" t="s">
        <v>328</v>
      </c>
      <c r="F28" s="210" t="s">
        <v>48</v>
      </c>
      <c r="G28" s="200" t="s">
        <v>284</v>
      </c>
      <c r="H28" s="201"/>
      <c r="I28" s="206">
        <v>1</v>
      </c>
      <c r="J28" s="207">
        <v>2.98</v>
      </c>
      <c r="K28" s="171">
        <v>17697</v>
      </c>
      <c r="L28" s="202">
        <f>K28*J28*I28</f>
        <v>52737.06</v>
      </c>
      <c r="M28" s="202"/>
      <c r="N28" s="208">
        <f>L28+M28</f>
        <v>52737.06</v>
      </c>
      <c r="O28" s="208">
        <f>N28</f>
        <v>52737.06</v>
      </c>
      <c r="P28" s="209"/>
      <c r="Q28" s="172"/>
      <c r="R28" s="202"/>
      <c r="S28" s="203"/>
      <c r="T28" s="172"/>
      <c r="U28" s="202"/>
      <c r="V28" s="202"/>
      <c r="W28" s="208"/>
      <c r="X28" s="202"/>
      <c r="Y28" s="202"/>
      <c r="Z28" s="208"/>
      <c r="AA28" s="208"/>
      <c r="AB28" s="208"/>
      <c r="AC28" s="208"/>
      <c r="AD28" s="208"/>
      <c r="AE28" s="208"/>
      <c r="AF28" s="208"/>
      <c r="AG28" s="208"/>
      <c r="AH28" s="208"/>
      <c r="AI28" s="202"/>
      <c r="AJ28" s="202">
        <f t="shared" si="4"/>
        <v>5273.7060000000001</v>
      </c>
      <c r="AK28" s="202">
        <f t="shared" si="5"/>
        <v>58010.765999999996</v>
      </c>
      <c r="AL28" s="202">
        <f>N28*10%</f>
        <v>5273.7060000000001</v>
      </c>
      <c r="AM28" s="33"/>
      <c r="AN28" s="33"/>
      <c r="AO28" s="33"/>
      <c r="AP28" s="33"/>
      <c r="AQ28" s="33"/>
    </row>
    <row r="29" spans="1:43" s="6" customFormat="1" ht="31.15" customHeight="1">
      <c r="A29" s="198">
        <v>18</v>
      </c>
      <c r="B29" s="172" t="s">
        <v>278</v>
      </c>
      <c r="C29" s="172" t="s">
        <v>47</v>
      </c>
      <c r="D29" s="171" t="s">
        <v>110</v>
      </c>
      <c r="E29" s="172" t="s">
        <v>302</v>
      </c>
      <c r="F29" s="172" t="s">
        <v>21</v>
      </c>
      <c r="G29" s="200" t="s">
        <v>260</v>
      </c>
      <c r="H29" s="201" t="s">
        <v>253</v>
      </c>
      <c r="I29" s="206">
        <v>0.5</v>
      </c>
      <c r="J29" s="172">
        <v>4.3899999999999997</v>
      </c>
      <c r="K29" s="171">
        <v>17697</v>
      </c>
      <c r="L29" s="202">
        <f>K29*J29*I29</f>
        <v>38844.914999999994</v>
      </c>
      <c r="M29" s="202">
        <f>L29*25/100</f>
        <v>9711.2287499999984</v>
      </c>
      <c r="N29" s="208">
        <f>L29+M29</f>
        <v>48556.143749999988</v>
      </c>
      <c r="O29" s="208">
        <f>N29</f>
        <v>48556.143749999988</v>
      </c>
      <c r="P29" s="209"/>
      <c r="Q29" s="171"/>
      <c r="R29" s="202"/>
      <c r="S29" s="203">
        <f>I29</f>
        <v>0.5</v>
      </c>
      <c r="T29" s="172">
        <v>40</v>
      </c>
      <c r="U29" s="202">
        <f>K29*S29*T29/100</f>
        <v>3539.4</v>
      </c>
      <c r="V29" s="202"/>
      <c r="W29" s="208"/>
      <c r="X29" s="202"/>
      <c r="Y29" s="202"/>
      <c r="Z29" s="208"/>
      <c r="AA29" s="208"/>
      <c r="AB29" s="208"/>
      <c r="AC29" s="208"/>
      <c r="AD29" s="208"/>
      <c r="AE29" s="208"/>
      <c r="AF29" s="208">
        <v>12054</v>
      </c>
      <c r="AG29" s="208"/>
      <c r="AH29" s="208"/>
      <c r="AI29" s="202"/>
      <c r="AJ29" s="202">
        <f t="shared" si="4"/>
        <v>20449.014374999999</v>
      </c>
      <c r="AK29" s="202">
        <f t="shared" si="5"/>
        <v>69005.158124999987</v>
      </c>
      <c r="AL29" s="202">
        <f>N29*10%</f>
        <v>4855.6143749999992</v>
      </c>
      <c r="AM29" s="33"/>
      <c r="AN29" s="33"/>
      <c r="AO29" s="33"/>
      <c r="AP29" s="33"/>
      <c r="AQ29" s="33"/>
    </row>
    <row r="30" spans="1:43" s="6" customFormat="1" ht="31.15" customHeight="1">
      <c r="A30" s="198">
        <v>19</v>
      </c>
      <c r="B30" s="171" t="s">
        <v>278</v>
      </c>
      <c r="C30" s="172" t="s">
        <v>44</v>
      </c>
      <c r="D30" s="230" t="s">
        <v>115</v>
      </c>
      <c r="E30" s="269" t="s">
        <v>308</v>
      </c>
      <c r="F30" s="172" t="s">
        <v>48</v>
      </c>
      <c r="G30" s="200" t="s">
        <v>258</v>
      </c>
      <c r="H30" s="201" t="s">
        <v>84</v>
      </c>
      <c r="I30" s="206">
        <v>0.2</v>
      </c>
      <c r="J30" s="172">
        <v>4.1900000000000004</v>
      </c>
      <c r="K30" s="171">
        <v>17697</v>
      </c>
      <c r="L30" s="202">
        <f t="shared" ref="L30" si="21">K30*J30*I30</f>
        <v>14830.086000000003</v>
      </c>
      <c r="M30" s="202">
        <f t="shared" ref="M30" si="22">L30*25/100</f>
        <v>3707.5215000000007</v>
      </c>
      <c r="N30" s="208">
        <f t="shared" ref="N30" si="23">L30+M30</f>
        <v>18537.607500000006</v>
      </c>
      <c r="O30" s="208">
        <f t="shared" ref="O30" si="24">N30</f>
        <v>18537.607500000006</v>
      </c>
      <c r="P30" s="209"/>
      <c r="Q30" s="172"/>
      <c r="R30" s="202"/>
      <c r="S30" s="203">
        <f t="shared" ref="S30" si="25">I30</f>
        <v>0.2</v>
      </c>
      <c r="T30" s="172">
        <v>40</v>
      </c>
      <c r="U30" s="202">
        <f t="shared" ref="U30" si="26">K30*S30*T30/100</f>
        <v>1415.76</v>
      </c>
      <c r="V30" s="202"/>
      <c r="W30" s="208"/>
      <c r="X30" s="202"/>
      <c r="Y30" s="202"/>
      <c r="Z30" s="208"/>
      <c r="AA30" s="208"/>
      <c r="AB30" s="208"/>
      <c r="AC30" s="208"/>
      <c r="AD30" s="208"/>
      <c r="AE30" s="208"/>
      <c r="AF30" s="208">
        <v>4821</v>
      </c>
      <c r="AG30" s="208"/>
      <c r="AH30" s="208"/>
      <c r="AI30" s="202"/>
      <c r="AJ30" s="202">
        <f t="shared" si="4"/>
        <v>8090.5207500000006</v>
      </c>
      <c r="AK30" s="202">
        <f t="shared" si="5"/>
        <v>26628.128250000005</v>
      </c>
      <c r="AL30" s="202">
        <f t="shared" ref="AL30" si="27">N30*10%</f>
        <v>1853.7607500000006</v>
      </c>
      <c r="AM30" s="33"/>
      <c r="AN30" s="33"/>
      <c r="AO30" s="33"/>
      <c r="AP30" s="33"/>
      <c r="AQ30" s="33"/>
    </row>
    <row r="31" spans="1:43" s="58" customFormat="1" ht="31.15" customHeight="1">
      <c r="A31" s="198">
        <v>20</v>
      </c>
      <c r="B31" s="171" t="s">
        <v>278</v>
      </c>
      <c r="C31" s="171" t="s">
        <v>44</v>
      </c>
      <c r="D31" s="217" t="s">
        <v>169</v>
      </c>
      <c r="E31" s="172" t="s">
        <v>304</v>
      </c>
      <c r="F31" s="172" t="s">
        <v>48</v>
      </c>
      <c r="G31" s="200" t="s">
        <v>258</v>
      </c>
      <c r="H31" s="201" t="s">
        <v>84</v>
      </c>
      <c r="I31" s="206">
        <v>0.2</v>
      </c>
      <c r="J31" s="207">
        <v>4</v>
      </c>
      <c r="K31" s="171">
        <v>17697</v>
      </c>
      <c r="L31" s="202">
        <f>K31*J31*I31</f>
        <v>14157.6</v>
      </c>
      <c r="M31" s="202">
        <f t="shared" ref="M31:M40" si="28">L31*25/100</f>
        <v>3539.4</v>
      </c>
      <c r="N31" s="208">
        <f>L31+M31</f>
        <v>17697</v>
      </c>
      <c r="O31" s="208">
        <f>N31</f>
        <v>17697</v>
      </c>
      <c r="P31" s="209"/>
      <c r="Q31" s="172"/>
      <c r="R31" s="202"/>
      <c r="S31" s="203">
        <f t="shared" ref="S31:S36" si="29">I31</f>
        <v>0.2</v>
      </c>
      <c r="T31" s="172">
        <v>40</v>
      </c>
      <c r="U31" s="202">
        <f>K31*S31*T31/100</f>
        <v>1415.76</v>
      </c>
      <c r="V31" s="202"/>
      <c r="W31" s="208"/>
      <c r="X31" s="202"/>
      <c r="Y31" s="202"/>
      <c r="Z31" s="208"/>
      <c r="AA31" s="208"/>
      <c r="AB31" s="208"/>
      <c r="AC31" s="208"/>
      <c r="AD31" s="208"/>
      <c r="AE31" s="208"/>
      <c r="AF31" s="208">
        <v>4821</v>
      </c>
      <c r="AG31" s="208"/>
      <c r="AH31" s="208"/>
      <c r="AI31" s="202"/>
      <c r="AJ31" s="202">
        <f t="shared" si="4"/>
        <v>8006.46</v>
      </c>
      <c r="AK31" s="202">
        <f t="shared" si="5"/>
        <v>25703.46</v>
      </c>
      <c r="AL31" s="202">
        <f>N31*10%</f>
        <v>1769.7</v>
      </c>
      <c r="AM31" s="127"/>
      <c r="AN31" s="127"/>
      <c r="AO31" s="127"/>
      <c r="AP31" s="127"/>
      <c r="AQ31" s="127"/>
    </row>
    <row r="32" spans="1:43" s="58" customFormat="1" ht="31.15" customHeight="1">
      <c r="A32" s="198">
        <v>21</v>
      </c>
      <c r="B32" s="171" t="s">
        <v>278</v>
      </c>
      <c r="C32" s="171" t="s">
        <v>44</v>
      </c>
      <c r="D32" s="188" t="s">
        <v>270</v>
      </c>
      <c r="E32" s="187" t="s">
        <v>306</v>
      </c>
      <c r="F32" s="172" t="s">
        <v>48</v>
      </c>
      <c r="G32" s="200" t="s">
        <v>258</v>
      </c>
      <c r="H32" s="201" t="s">
        <v>84</v>
      </c>
      <c r="I32" s="206">
        <v>0.2</v>
      </c>
      <c r="J32" s="172">
        <v>4.0599999999999996</v>
      </c>
      <c r="K32" s="171">
        <v>17697</v>
      </c>
      <c r="L32" s="202">
        <f>K32*J32*I32</f>
        <v>14369.964</v>
      </c>
      <c r="M32" s="202">
        <f t="shared" si="28"/>
        <v>3592.491</v>
      </c>
      <c r="N32" s="208">
        <f>L32+M32</f>
        <v>17962.455000000002</v>
      </c>
      <c r="O32" s="208">
        <f>N32</f>
        <v>17962.455000000002</v>
      </c>
      <c r="P32" s="209"/>
      <c r="Q32" s="172"/>
      <c r="R32" s="202"/>
      <c r="S32" s="203">
        <f t="shared" si="29"/>
        <v>0.2</v>
      </c>
      <c r="T32" s="172">
        <v>40</v>
      </c>
      <c r="U32" s="202">
        <f>K32*S32*T32/100</f>
        <v>1415.76</v>
      </c>
      <c r="V32" s="202"/>
      <c r="W32" s="208"/>
      <c r="X32" s="202"/>
      <c r="Y32" s="202"/>
      <c r="Z32" s="208"/>
      <c r="AA32" s="208"/>
      <c r="AB32" s="208"/>
      <c r="AC32" s="208"/>
      <c r="AD32" s="208"/>
      <c r="AE32" s="208"/>
      <c r="AF32" s="208">
        <v>4821</v>
      </c>
      <c r="AG32" s="208"/>
      <c r="AH32" s="208"/>
      <c r="AI32" s="202"/>
      <c r="AJ32" s="202">
        <f t="shared" si="4"/>
        <v>8033.0055000000002</v>
      </c>
      <c r="AK32" s="202">
        <f t="shared" si="5"/>
        <v>25995.460500000001</v>
      </c>
      <c r="AL32" s="202">
        <f>N32*10%</f>
        <v>1796.2455000000002</v>
      </c>
      <c r="AM32" s="127"/>
      <c r="AN32" s="127"/>
      <c r="AO32" s="127"/>
      <c r="AP32" s="127"/>
      <c r="AQ32" s="127"/>
    </row>
    <row r="33" spans="1:43" s="58" customFormat="1" ht="31.15" customHeight="1">
      <c r="A33" s="198">
        <v>22</v>
      </c>
      <c r="B33" s="171" t="s">
        <v>278</v>
      </c>
      <c r="C33" s="171" t="s">
        <v>44</v>
      </c>
      <c r="D33" s="171" t="s">
        <v>206</v>
      </c>
      <c r="E33" s="274" t="s">
        <v>334</v>
      </c>
      <c r="F33" s="172" t="s">
        <v>48</v>
      </c>
      <c r="G33" s="200" t="s">
        <v>258</v>
      </c>
      <c r="H33" s="201" t="s">
        <v>84</v>
      </c>
      <c r="I33" s="206">
        <v>0.5</v>
      </c>
      <c r="J33" s="172">
        <v>4</v>
      </c>
      <c r="K33" s="171">
        <v>17697</v>
      </c>
      <c r="L33" s="202">
        <f>K33*J33*I33</f>
        <v>35394</v>
      </c>
      <c r="M33" s="202">
        <f t="shared" si="28"/>
        <v>8848.5</v>
      </c>
      <c r="N33" s="208">
        <f>L33+M33</f>
        <v>44242.5</v>
      </c>
      <c r="O33" s="208">
        <f>N33</f>
        <v>44242.5</v>
      </c>
      <c r="P33" s="209"/>
      <c r="Q33" s="172"/>
      <c r="R33" s="202"/>
      <c r="S33" s="203">
        <f t="shared" si="29"/>
        <v>0.5</v>
      </c>
      <c r="T33" s="172">
        <v>40</v>
      </c>
      <c r="U33" s="202">
        <f>K33*S33*T33/100</f>
        <v>3539.4</v>
      </c>
      <c r="V33" s="202"/>
      <c r="W33" s="208"/>
      <c r="X33" s="202"/>
      <c r="Y33" s="202"/>
      <c r="Z33" s="208"/>
      <c r="AA33" s="208"/>
      <c r="AB33" s="208"/>
      <c r="AC33" s="208"/>
      <c r="AD33" s="208"/>
      <c r="AE33" s="208"/>
      <c r="AF33" s="208">
        <v>12054</v>
      </c>
      <c r="AG33" s="208"/>
      <c r="AH33" s="208"/>
      <c r="AI33" s="202"/>
      <c r="AJ33" s="202">
        <f t="shared" si="4"/>
        <v>20017.650000000001</v>
      </c>
      <c r="AK33" s="202">
        <f t="shared" si="5"/>
        <v>64260.15</v>
      </c>
      <c r="AL33" s="202">
        <f>N33*10%</f>
        <v>4424.25</v>
      </c>
      <c r="AM33" s="127"/>
      <c r="AN33" s="127"/>
      <c r="AO33" s="127"/>
      <c r="AP33" s="127"/>
      <c r="AQ33" s="127"/>
    </row>
    <row r="34" spans="1:43" s="58" customFormat="1" ht="31.15" customHeight="1">
      <c r="A34" s="198">
        <v>23</v>
      </c>
      <c r="B34" s="171" t="s">
        <v>278</v>
      </c>
      <c r="C34" s="172" t="s">
        <v>44</v>
      </c>
      <c r="D34" s="273" t="s">
        <v>319</v>
      </c>
      <c r="E34" s="172" t="s">
        <v>342</v>
      </c>
      <c r="F34" s="172" t="s">
        <v>48</v>
      </c>
      <c r="G34" s="200" t="s">
        <v>258</v>
      </c>
      <c r="H34" s="201" t="s">
        <v>84</v>
      </c>
      <c r="I34" s="206">
        <v>0.2</v>
      </c>
      <c r="J34" s="172">
        <v>3.94</v>
      </c>
      <c r="K34" s="171">
        <v>17697</v>
      </c>
      <c r="L34" s="202">
        <f>K34*J34*I34</f>
        <v>13945.235999999999</v>
      </c>
      <c r="M34" s="202">
        <f t="shared" ref="M34" si="30">L34*25/100</f>
        <v>3486.3089999999997</v>
      </c>
      <c r="N34" s="208">
        <f>L34+M34</f>
        <v>17431.544999999998</v>
      </c>
      <c r="O34" s="208">
        <f>N34</f>
        <v>17431.544999999998</v>
      </c>
      <c r="P34" s="209"/>
      <c r="Q34" s="172"/>
      <c r="R34" s="202"/>
      <c r="S34" s="203">
        <f t="shared" ref="S34" si="31">I34</f>
        <v>0.2</v>
      </c>
      <c r="T34" s="172">
        <v>40</v>
      </c>
      <c r="U34" s="202">
        <f>K34*S34*T34/100</f>
        <v>1415.76</v>
      </c>
      <c r="V34" s="202"/>
      <c r="W34" s="208"/>
      <c r="X34" s="202"/>
      <c r="Y34" s="202"/>
      <c r="Z34" s="208"/>
      <c r="AA34" s="208"/>
      <c r="AB34" s="208"/>
      <c r="AC34" s="208"/>
      <c r="AD34" s="208"/>
      <c r="AE34" s="208"/>
      <c r="AF34" s="208">
        <v>4821</v>
      </c>
      <c r="AG34" s="208"/>
      <c r="AH34" s="208"/>
      <c r="AI34" s="202"/>
      <c r="AJ34" s="202">
        <f t="shared" si="4"/>
        <v>7979.9144999999999</v>
      </c>
      <c r="AK34" s="202">
        <f t="shared" ref="AK34" si="32">AJ34+O34</f>
        <v>25411.459499999997</v>
      </c>
      <c r="AL34" s="202">
        <f>N34*10%</f>
        <v>1743.1544999999999</v>
      </c>
      <c r="AM34" s="127"/>
      <c r="AN34" s="127"/>
      <c r="AO34" s="127"/>
      <c r="AP34" s="127"/>
      <c r="AQ34" s="127"/>
    </row>
    <row r="35" spans="1:43" s="58" customFormat="1" ht="31.15" customHeight="1">
      <c r="A35" s="198">
        <v>24</v>
      </c>
      <c r="B35" s="188" t="s">
        <v>278</v>
      </c>
      <c r="C35" s="187" t="s">
        <v>47</v>
      </c>
      <c r="D35" s="275" t="s">
        <v>311</v>
      </c>
      <c r="E35" s="276" t="s">
        <v>333</v>
      </c>
      <c r="F35" s="187" t="s">
        <v>48</v>
      </c>
      <c r="G35" s="236" t="s">
        <v>249</v>
      </c>
      <c r="H35" s="237">
        <v>4</v>
      </c>
      <c r="I35" s="206">
        <v>0.2</v>
      </c>
      <c r="J35" s="172">
        <v>3.45</v>
      </c>
      <c r="K35" s="171">
        <v>17697</v>
      </c>
      <c r="L35" s="202">
        <f>K35*J35*I35</f>
        <v>12210.93</v>
      </c>
      <c r="M35" s="202">
        <f t="shared" ref="M35" si="33">L35*25/100</f>
        <v>3052.7325000000001</v>
      </c>
      <c r="N35" s="208">
        <f>L35+M35</f>
        <v>15263.6625</v>
      </c>
      <c r="O35" s="208">
        <f>N35</f>
        <v>15263.6625</v>
      </c>
      <c r="P35" s="209"/>
      <c r="Q35" s="172"/>
      <c r="R35" s="202"/>
      <c r="S35" s="203">
        <f t="shared" ref="S35" si="34">I35</f>
        <v>0.2</v>
      </c>
      <c r="T35" s="172">
        <v>40</v>
      </c>
      <c r="U35" s="202">
        <f>K35*S35*T35/100</f>
        <v>1415.76</v>
      </c>
      <c r="V35" s="202"/>
      <c r="W35" s="208"/>
      <c r="X35" s="202"/>
      <c r="Y35" s="202"/>
      <c r="Z35" s="208"/>
      <c r="AA35" s="208"/>
      <c r="AB35" s="208"/>
      <c r="AC35" s="208"/>
      <c r="AD35" s="208"/>
      <c r="AE35" s="208"/>
      <c r="AF35" s="208">
        <v>4821</v>
      </c>
      <c r="AG35" s="208"/>
      <c r="AH35" s="208"/>
      <c r="AI35" s="202"/>
      <c r="AJ35" s="202">
        <f t="shared" si="4"/>
        <v>7763.1262500000003</v>
      </c>
      <c r="AK35" s="202">
        <f t="shared" ref="AK35" si="35">AJ35+O35</f>
        <v>23026.78875</v>
      </c>
      <c r="AL35" s="202">
        <f>N35*10%</f>
        <v>1526.36625</v>
      </c>
      <c r="AM35" s="127"/>
      <c r="AN35" s="127"/>
      <c r="AO35" s="127"/>
      <c r="AP35" s="127"/>
      <c r="AQ35" s="127"/>
    </row>
    <row r="36" spans="1:43" s="58" customFormat="1" ht="31.15" customHeight="1">
      <c r="A36" s="198">
        <v>25</v>
      </c>
      <c r="B36" s="172" t="s">
        <v>51</v>
      </c>
      <c r="C36" s="172" t="s">
        <v>44</v>
      </c>
      <c r="D36" s="285" t="s">
        <v>112</v>
      </c>
      <c r="E36" s="172" t="s">
        <v>326</v>
      </c>
      <c r="F36" s="200" t="s">
        <v>53</v>
      </c>
      <c r="G36" s="200" t="s">
        <v>248</v>
      </c>
      <c r="H36" s="201" t="s">
        <v>253</v>
      </c>
      <c r="I36" s="206">
        <v>0.5</v>
      </c>
      <c r="J36" s="172">
        <v>5.54</v>
      </c>
      <c r="K36" s="171">
        <v>17697</v>
      </c>
      <c r="L36" s="202">
        <f t="shared" si="0"/>
        <v>49020.69</v>
      </c>
      <c r="M36" s="202">
        <f t="shared" si="28"/>
        <v>12255.172500000001</v>
      </c>
      <c r="N36" s="208">
        <f t="shared" si="1"/>
        <v>61275.862500000003</v>
      </c>
      <c r="O36" s="208">
        <f t="shared" si="2"/>
        <v>61275.862500000003</v>
      </c>
      <c r="P36" s="209"/>
      <c r="Q36" s="172"/>
      <c r="R36" s="202"/>
      <c r="S36" s="203">
        <f t="shared" si="29"/>
        <v>0.5</v>
      </c>
      <c r="T36" s="172">
        <v>30</v>
      </c>
      <c r="U36" s="202">
        <f t="shared" ref="U36:U47" si="36">K36*S36*T36/100</f>
        <v>2654.55</v>
      </c>
      <c r="V36" s="202"/>
      <c r="W36" s="208"/>
      <c r="X36" s="202"/>
      <c r="Y36" s="202"/>
      <c r="Z36" s="208"/>
      <c r="AA36" s="208"/>
      <c r="AB36" s="208"/>
      <c r="AC36" s="208"/>
      <c r="AD36" s="208"/>
      <c r="AE36" s="208"/>
      <c r="AF36" s="208"/>
      <c r="AG36" s="208"/>
      <c r="AH36" s="208"/>
      <c r="AI36" s="202"/>
      <c r="AJ36" s="202">
        <f t="shared" si="4"/>
        <v>8782.1362499999996</v>
      </c>
      <c r="AK36" s="202">
        <f t="shared" si="5"/>
        <v>70057.998749999999</v>
      </c>
      <c r="AL36" s="202">
        <f t="shared" si="3"/>
        <v>6127.5862500000003</v>
      </c>
      <c r="AM36" s="127"/>
      <c r="AN36" s="127"/>
      <c r="AO36" s="127"/>
      <c r="AP36" s="127"/>
      <c r="AQ36" s="127"/>
    </row>
    <row r="37" spans="1:43" s="288" customFormat="1" ht="45" customHeight="1">
      <c r="A37" s="198">
        <v>26</v>
      </c>
      <c r="B37" s="171" t="s">
        <v>70</v>
      </c>
      <c r="C37" s="198" t="s">
        <v>47</v>
      </c>
      <c r="D37" s="198" t="s">
        <v>97</v>
      </c>
      <c r="E37" s="210" t="s">
        <v>323</v>
      </c>
      <c r="F37" s="200" t="s">
        <v>48</v>
      </c>
      <c r="G37" s="200" t="s">
        <v>260</v>
      </c>
      <c r="H37" s="201" t="s">
        <v>84</v>
      </c>
      <c r="I37" s="206">
        <v>1</v>
      </c>
      <c r="J37" s="172">
        <v>3.73</v>
      </c>
      <c r="K37" s="171">
        <v>17697</v>
      </c>
      <c r="L37" s="202">
        <f>K37*J37*I37</f>
        <v>66009.81</v>
      </c>
      <c r="M37" s="202">
        <f t="shared" si="28"/>
        <v>16502.452499999999</v>
      </c>
      <c r="N37" s="208">
        <f>L37+M37</f>
        <v>82512.262499999997</v>
      </c>
      <c r="O37" s="208">
        <f>N37</f>
        <v>82512.262499999997</v>
      </c>
      <c r="P37" s="209"/>
      <c r="Q37" s="172"/>
      <c r="R37" s="202"/>
      <c r="S37" s="203">
        <v>1</v>
      </c>
      <c r="T37" s="172">
        <v>30</v>
      </c>
      <c r="U37" s="202">
        <f t="shared" ref="U37:U42" si="37">K37*S37*T37/100</f>
        <v>5309.1</v>
      </c>
      <c r="V37" s="202"/>
      <c r="W37" s="208"/>
      <c r="X37" s="202"/>
      <c r="Y37" s="203"/>
      <c r="Z37" s="208"/>
      <c r="AA37" s="208"/>
      <c r="AB37" s="208"/>
      <c r="AC37" s="208"/>
      <c r="AD37" s="208"/>
      <c r="AE37" s="208">
        <v>1274</v>
      </c>
      <c r="AF37" s="208">
        <v>14931</v>
      </c>
      <c r="AG37" s="208"/>
      <c r="AH37" s="208"/>
      <c r="AI37" s="202"/>
      <c r="AJ37" s="202">
        <f t="shared" si="4"/>
        <v>29765.326249999998</v>
      </c>
      <c r="AK37" s="202">
        <f t="shared" si="5"/>
        <v>112277.58875</v>
      </c>
      <c r="AL37" s="202">
        <f>N37*10%</f>
        <v>8251.2262499999997</v>
      </c>
      <c r="AM37" s="287"/>
      <c r="AN37" s="287"/>
      <c r="AO37" s="287"/>
      <c r="AP37" s="287"/>
      <c r="AQ37" s="287"/>
    </row>
    <row r="38" spans="1:43" s="288" customFormat="1" ht="45" customHeight="1">
      <c r="A38" s="198">
        <v>27</v>
      </c>
      <c r="B38" s="171" t="s">
        <v>70</v>
      </c>
      <c r="C38" s="198" t="s">
        <v>47</v>
      </c>
      <c r="D38" s="198" t="s">
        <v>271</v>
      </c>
      <c r="E38" s="210" t="s">
        <v>325</v>
      </c>
      <c r="F38" s="200" t="s">
        <v>48</v>
      </c>
      <c r="G38" s="200" t="s">
        <v>260</v>
      </c>
      <c r="H38" s="201" t="s">
        <v>84</v>
      </c>
      <c r="I38" s="206">
        <v>1</v>
      </c>
      <c r="J38" s="172">
        <v>3.73</v>
      </c>
      <c r="K38" s="171">
        <v>17697</v>
      </c>
      <c r="L38" s="202">
        <f>K38*J38*I38</f>
        <v>66009.81</v>
      </c>
      <c r="M38" s="202">
        <f t="shared" si="28"/>
        <v>16502.452499999999</v>
      </c>
      <c r="N38" s="208">
        <f>L38+M38</f>
        <v>82512.262499999997</v>
      </c>
      <c r="O38" s="208">
        <f>N38</f>
        <v>82512.262499999997</v>
      </c>
      <c r="P38" s="209"/>
      <c r="Q38" s="172"/>
      <c r="R38" s="202"/>
      <c r="S38" s="203">
        <v>1</v>
      </c>
      <c r="T38" s="172">
        <v>30</v>
      </c>
      <c r="U38" s="202">
        <f t="shared" si="37"/>
        <v>5309.1</v>
      </c>
      <c r="V38" s="202"/>
      <c r="W38" s="208"/>
      <c r="X38" s="202"/>
      <c r="Y38" s="203"/>
      <c r="Z38" s="208"/>
      <c r="AA38" s="208"/>
      <c r="AB38" s="208"/>
      <c r="AC38" s="208"/>
      <c r="AD38" s="208"/>
      <c r="AE38" s="208">
        <v>1274</v>
      </c>
      <c r="AF38" s="208">
        <v>14931</v>
      </c>
      <c r="AG38" s="208"/>
      <c r="AH38" s="208"/>
      <c r="AI38" s="202"/>
      <c r="AJ38" s="202">
        <f t="shared" si="4"/>
        <v>29765.326249999998</v>
      </c>
      <c r="AK38" s="202">
        <f t="shared" si="5"/>
        <v>112277.58875</v>
      </c>
      <c r="AL38" s="202">
        <f>N38*10%</f>
        <v>8251.2262499999997</v>
      </c>
      <c r="AM38" s="287"/>
      <c r="AN38" s="287"/>
      <c r="AO38" s="287"/>
      <c r="AP38" s="287"/>
      <c r="AQ38" s="287"/>
    </row>
    <row r="39" spans="1:43" s="288" customFormat="1" ht="45" customHeight="1">
      <c r="A39" s="198">
        <v>28</v>
      </c>
      <c r="B39" s="171" t="s">
        <v>70</v>
      </c>
      <c r="C39" s="205" t="s">
        <v>47</v>
      </c>
      <c r="D39" s="198" t="s">
        <v>96</v>
      </c>
      <c r="E39" s="210" t="s">
        <v>321</v>
      </c>
      <c r="F39" s="200" t="s">
        <v>48</v>
      </c>
      <c r="G39" s="200" t="s">
        <v>260</v>
      </c>
      <c r="H39" s="201" t="s">
        <v>84</v>
      </c>
      <c r="I39" s="206">
        <v>1</v>
      </c>
      <c r="J39" s="172">
        <v>3.69</v>
      </c>
      <c r="K39" s="171">
        <v>17697</v>
      </c>
      <c r="L39" s="202">
        <f>K39*J39*I39</f>
        <v>65301.93</v>
      </c>
      <c r="M39" s="202">
        <f t="shared" si="28"/>
        <v>16325.4825</v>
      </c>
      <c r="N39" s="208">
        <f>L39+M39</f>
        <v>81627.412500000006</v>
      </c>
      <c r="O39" s="208">
        <f>N39</f>
        <v>81627.412500000006</v>
      </c>
      <c r="P39" s="209"/>
      <c r="Q39" s="172"/>
      <c r="R39" s="202"/>
      <c r="S39" s="203">
        <v>1</v>
      </c>
      <c r="T39" s="172">
        <v>30</v>
      </c>
      <c r="U39" s="202">
        <f t="shared" si="37"/>
        <v>5309.1</v>
      </c>
      <c r="V39" s="202"/>
      <c r="W39" s="208"/>
      <c r="X39" s="202"/>
      <c r="Y39" s="203">
        <v>1</v>
      </c>
      <c r="Z39" s="208">
        <v>50</v>
      </c>
      <c r="AA39" s="208">
        <v>23990</v>
      </c>
      <c r="AB39" s="208"/>
      <c r="AC39" s="208"/>
      <c r="AD39" s="208"/>
      <c r="AE39" s="208">
        <v>1274</v>
      </c>
      <c r="AF39" s="208">
        <v>14931</v>
      </c>
      <c r="AG39" s="208"/>
      <c r="AH39" s="208"/>
      <c r="AI39" s="202"/>
      <c r="AJ39" s="202">
        <f t="shared" si="4"/>
        <v>53666.841249999998</v>
      </c>
      <c r="AK39" s="202">
        <f t="shared" si="5"/>
        <v>135294.25375</v>
      </c>
      <c r="AL39" s="202">
        <f>N39*10%</f>
        <v>8162.7412500000009</v>
      </c>
      <c r="AM39" s="287"/>
      <c r="AN39" s="287"/>
      <c r="AO39" s="287"/>
      <c r="AP39" s="287"/>
      <c r="AQ39" s="287"/>
    </row>
    <row r="40" spans="1:43" s="288" customFormat="1" ht="45" customHeight="1">
      <c r="A40" s="198">
        <v>29</v>
      </c>
      <c r="B40" s="171" t="s">
        <v>70</v>
      </c>
      <c r="C40" s="205" t="s">
        <v>47</v>
      </c>
      <c r="D40" s="171" t="s">
        <v>202</v>
      </c>
      <c r="E40" s="210" t="s">
        <v>324</v>
      </c>
      <c r="F40" s="200" t="s">
        <v>48</v>
      </c>
      <c r="G40" s="200" t="s">
        <v>260</v>
      </c>
      <c r="H40" s="201" t="s">
        <v>84</v>
      </c>
      <c r="I40" s="206">
        <v>1</v>
      </c>
      <c r="J40" s="172">
        <v>3.57</v>
      </c>
      <c r="K40" s="171">
        <v>17697</v>
      </c>
      <c r="L40" s="202">
        <f>K40*J40*I40</f>
        <v>63178.289999999994</v>
      </c>
      <c r="M40" s="202">
        <f t="shared" si="28"/>
        <v>15794.572499999998</v>
      </c>
      <c r="N40" s="208">
        <f>L40+M40</f>
        <v>78972.862499999988</v>
      </c>
      <c r="O40" s="208">
        <f>N40</f>
        <v>78972.862499999988</v>
      </c>
      <c r="P40" s="209"/>
      <c r="Q40" s="172"/>
      <c r="R40" s="202"/>
      <c r="S40" s="203">
        <v>1</v>
      </c>
      <c r="T40" s="172">
        <v>30</v>
      </c>
      <c r="U40" s="202">
        <f t="shared" si="37"/>
        <v>5309.1</v>
      </c>
      <c r="V40" s="202"/>
      <c r="W40" s="208"/>
      <c r="X40" s="202"/>
      <c r="Y40" s="203">
        <v>1</v>
      </c>
      <c r="Z40" s="208">
        <v>50</v>
      </c>
      <c r="AA40" s="208">
        <v>23210</v>
      </c>
      <c r="AB40" s="208"/>
      <c r="AC40" s="208"/>
      <c r="AD40" s="208"/>
      <c r="AE40" s="208">
        <v>1274</v>
      </c>
      <c r="AF40" s="208">
        <v>14931</v>
      </c>
      <c r="AG40" s="208"/>
      <c r="AH40" s="208"/>
      <c r="AI40" s="202"/>
      <c r="AJ40" s="202">
        <f t="shared" si="4"/>
        <v>52621.386249999996</v>
      </c>
      <c r="AK40" s="202">
        <f t="shared" si="5"/>
        <v>131594.24874999997</v>
      </c>
      <c r="AL40" s="202">
        <f>N40*10%</f>
        <v>7897.2862499999992</v>
      </c>
      <c r="AM40" s="287"/>
      <c r="AN40" s="287"/>
      <c r="AO40" s="287"/>
      <c r="AP40" s="287"/>
      <c r="AQ40" s="287"/>
    </row>
    <row r="41" spans="1:43" s="58" customFormat="1" ht="31.15" customHeight="1">
      <c r="A41" s="198">
        <v>30</v>
      </c>
      <c r="B41" s="171" t="s">
        <v>72</v>
      </c>
      <c r="C41" s="172" t="s">
        <v>47</v>
      </c>
      <c r="D41" s="171" t="s">
        <v>201</v>
      </c>
      <c r="E41" s="172" t="s">
        <v>322</v>
      </c>
      <c r="F41" s="172" t="s">
        <v>48</v>
      </c>
      <c r="G41" s="200" t="s">
        <v>249</v>
      </c>
      <c r="H41" s="201" t="s">
        <v>84</v>
      </c>
      <c r="I41" s="206">
        <v>0.5</v>
      </c>
      <c r="J41" s="172">
        <v>3.73</v>
      </c>
      <c r="K41" s="171">
        <v>17697</v>
      </c>
      <c r="L41" s="202">
        <f>K41*J41*I41</f>
        <v>33004.904999999999</v>
      </c>
      <c r="M41" s="202">
        <f t="shared" ref="M41" si="38">L41*25/100</f>
        <v>8251.2262499999997</v>
      </c>
      <c r="N41" s="208">
        <f>L41+M41</f>
        <v>41256.131249999999</v>
      </c>
      <c r="O41" s="208">
        <f>N41</f>
        <v>41256.131249999999</v>
      </c>
      <c r="P41" s="209"/>
      <c r="Q41" s="172"/>
      <c r="R41" s="202"/>
      <c r="S41" s="203">
        <f t="shared" ref="S41" si="39">I41</f>
        <v>0.5</v>
      </c>
      <c r="T41" s="172">
        <v>40</v>
      </c>
      <c r="U41" s="202">
        <f t="shared" si="37"/>
        <v>3539.4</v>
      </c>
      <c r="V41" s="202"/>
      <c r="W41" s="208"/>
      <c r="X41" s="202"/>
      <c r="Y41" s="202"/>
      <c r="Z41" s="208"/>
      <c r="AA41" s="208"/>
      <c r="AB41" s="208"/>
      <c r="AC41" s="208"/>
      <c r="AD41" s="208"/>
      <c r="AE41" s="208"/>
      <c r="AF41" s="208"/>
      <c r="AG41" s="208"/>
      <c r="AH41" s="208"/>
      <c r="AI41" s="202"/>
      <c r="AJ41" s="202">
        <f t="shared" si="4"/>
        <v>7665.0131249999995</v>
      </c>
      <c r="AK41" s="202">
        <f t="shared" si="5"/>
        <v>48921.144374999996</v>
      </c>
      <c r="AL41" s="202">
        <f>N41*10%</f>
        <v>4125.6131249999999</v>
      </c>
      <c r="AM41" s="127"/>
      <c r="AN41" s="127"/>
      <c r="AO41" s="127"/>
      <c r="AP41" s="127"/>
      <c r="AQ41" s="127"/>
    </row>
    <row r="42" spans="1:43" s="58" customFormat="1" ht="31.15" customHeight="1">
      <c r="A42" s="198">
        <v>31</v>
      </c>
      <c r="B42" s="171" t="s">
        <v>66</v>
      </c>
      <c r="C42" s="172" t="s">
        <v>47</v>
      </c>
      <c r="D42" s="171" t="s">
        <v>95</v>
      </c>
      <c r="E42" s="172" t="s">
        <v>322</v>
      </c>
      <c r="F42" s="200" t="s">
        <v>48</v>
      </c>
      <c r="G42" s="200" t="s">
        <v>260</v>
      </c>
      <c r="H42" s="201" t="s">
        <v>84</v>
      </c>
      <c r="I42" s="206">
        <v>0.5</v>
      </c>
      <c r="J42" s="207">
        <v>3.73</v>
      </c>
      <c r="K42" s="171">
        <v>17697</v>
      </c>
      <c r="L42" s="202">
        <f t="shared" ref="L42" si="40">K42*J42*I42</f>
        <v>33004.904999999999</v>
      </c>
      <c r="M42" s="202">
        <f>L42*25/100</f>
        <v>8251.2262499999997</v>
      </c>
      <c r="N42" s="208">
        <f t="shared" ref="N42" si="41">L42+M42</f>
        <v>41256.131249999999</v>
      </c>
      <c r="O42" s="208">
        <f t="shared" ref="O42" si="42">N42</f>
        <v>41256.131249999999</v>
      </c>
      <c r="P42" s="209"/>
      <c r="Q42" s="172"/>
      <c r="R42" s="202"/>
      <c r="S42" s="203">
        <f>I42</f>
        <v>0.5</v>
      </c>
      <c r="T42" s="172">
        <v>30</v>
      </c>
      <c r="U42" s="202">
        <f t="shared" si="37"/>
        <v>2654.55</v>
      </c>
      <c r="V42" s="202"/>
      <c r="W42" s="208"/>
      <c r="X42" s="202"/>
      <c r="Y42" s="202"/>
      <c r="Z42" s="208"/>
      <c r="AA42" s="208"/>
      <c r="AB42" s="208"/>
      <c r="AC42" s="208"/>
      <c r="AD42" s="208"/>
      <c r="AE42" s="208"/>
      <c r="AF42" s="208"/>
      <c r="AG42" s="208"/>
      <c r="AH42" s="208"/>
      <c r="AI42" s="202"/>
      <c r="AJ42" s="202">
        <f t="shared" si="4"/>
        <v>6780.163125</v>
      </c>
      <c r="AK42" s="202">
        <f t="shared" si="5"/>
        <v>48036.294374999998</v>
      </c>
      <c r="AL42" s="202">
        <f t="shared" ref="AL42" si="43">N42*10%</f>
        <v>4125.6131249999999</v>
      </c>
      <c r="AM42" s="127"/>
      <c r="AN42" s="127"/>
      <c r="AO42" s="127"/>
      <c r="AP42" s="127"/>
      <c r="AQ42" s="127"/>
    </row>
    <row r="43" spans="1:43" s="290" customFormat="1" ht="31.15" customHeight="1">
      <c r="A43" s="198">
        <v>32</v>
      </c>
      <c r="B43" s="171" t="s">
        <v>71</v>
      </c>
      <c r="C43" s="198" t="s">
        <v>47</v>
      </c>
      <c r="D43" s="198" t="s">
        <v>97</v>
      </c>
      <c r="E43" s="210" t="s">
        <v>322</v>
      </c>
      <c r="F43" s="200" t="s">
        <v>48</v>
      </c>
      <c r="G43" s="200" t="s">
        <v>284</v>
      </c>
      <c r="H43" s="201"/>
      <c r="I43" s="206">
        <v>0.5</v>
      </c>
      <c r="J43" s="172">
        <v>3.29</v>
      </c>
      <c r="K43" s="171">
        <v>17697</v>
      </c>
      <c r="L43" s="202">
        <f t="shared" ref="L43" si="44">K43*J43*I43</f>
        <v>29111.564999999999</v>
      </c>
      <c r="M43" s="202"/>
      <c r="N43" s="208">
        <f>L43+M43</f>
        <v>29111.564999999999</v>
      </c>
      <c r="O43" s="208">
        <f t="shared" ref="O43" si="45">N43</f>
        <v>29111.564999999999</v>
      </c>
      <c r="P43" s="209"/>
      <c r="Q43" s="172"/>
      <c r="R43" s="202"/>
      <c r="S43" s="203"/>
      <c r="T43" s="172"/>
      <c r="U43" s="202"/>
      <c r="V43" s="202"/>
      <c r="W43" s="208"/>
      <c r="X43" s="202"/>
      <c r="Y43" s="202"/>
      <c r="Z43" s="208"/>
      <c r="AA43" s="208"/>
      <c r="AB43" s="208"/>
      <c r="AC43" s="208"/>
      <c r="AD43" s="208"/>
      <c r="AE43" s="208"/>
      <c r="AF43" s="327">
        <v>1601</v>
      </c>
      <c r="AG43" s="208"/>
      <c r="AH43" s="208"/>
      <c r="AI43" s="202"/>
      <c r="AJ43" s="202">
        <f t="shared" si="4"/>
        <v>4512.1565000000001</v>
      </c>
      <c r="AK43" s="202">
        <f t="shared" si="5"/>
        <v>33623.7215</v>
      </c>
      <c r="AL43" s="202">
        <f>N43*10%</f>
        <v>2911.1565000000001</v>
      </c>
      <c r="AM43" s="289"/>
      <c r="AN43" s="289"/>
      <c r="AO43" s="289"/>
      <c r="AP43" s="289"/>
      <c r="AQ43" s="289"/>
    </row>
    <row r="44" spans="1:43" s="288" customFormat="1" ht="31.15" customHeight="1">
      <c r="A44" s="198">
        <v>33</v>
      </c>
      <c r="B44" s="272" t="s">
        <v>74</v>
      </c>
      <c r="C44" s="291" t="s">
        <v>47</v>
      </c>
      <c r="D44" s="210" t="s">
        <v>46</v>
      </c>
      <c r="E44" s="292" t="s">
        <v>329</v>
      </c>
      <c r="F44" s="210" t="s">
        <v>48</v>
      </c>
      <c r="G44" s="200" t="s">
        <v>284</v>
      </c>
      <c r="H44" s="201"/>
      <c r="I44" s="206">
        <v>1</v>
      </c>
      <c r="J44" s="172">
        <v>2.98</v>
      </c>
      <c r="K44" s="171">
        <v>17697</v>
      </c>
      <c r="L44" s="202">
        <f t="shared" si="0"/>
        <v>52737.06</v>
      </c>
      <c r="M44" s="202"/>
      <c r="N44" s="208">
        <f t="shared" si="1"/>
        <v>52737.06</v>
      </c>
      <c r="O44" s="208">
        <f t="shared" si="2"/>
        <v>52737.06</v>
      </c>
      <c r="P44" s="209"/>
      <c r="Q44" s="172"/>
      <c r="R44" s="202"/>
      <c r="S44" s="203">
        <v>1</v>
      </c>
      <c r="T44" s="172">
        <v>40</v>
      </c>
      <c r="U44" s="202">
        <f t="shared" si="36"/>
        <v>7078.8</v>
      </c>
      <c r="V44" s="202"/>
      <c r="W44" s="208"/>
      <c r="X44" s="202"/>
      <c r="Y44" s="202">
        <v>1</v>
      </c>
      <c r="Z44" s="208">
        <v>50</v>
      </c>
      <c r="AA44" s="208">
        <v>19374</v>
      </c>
      <c r="AB44" s="208"/>
      <c r="AC44" s="208"/>
      <c r="AD44" s="208"/>
      <c r="AE44" s="208">
        <v>1354</v>
      </c>
      <c r="AF44" s="208">
        <v>8888</v>
      </c>
      <c r="AG44" s="208"/>
      <c r="AH44" s="208"/>
      <c r="AI44" s="202"/>
      <c r="AJ44" s="202">
        <f t="shared" si="4"/>
        <v>41968.506000000001</v>
      </c>
      <c r="AK44" s="202">
        <f t="shared" ref="AK44:AK74" si="46">AJ44+O44</f>
        <v>94705.565999999992</v>
      </c>
      <c r="AL44" s="202">
        <f t="shared" si="3"/>
        <v>5273.7060000000001</v>
      </c>
      <c r="AM44" s="287"/>
      <c r="AN44" s="287"/>
      <c r="AO44" s="287"/>
      <c r="AP44" s="287"/>
      <c r="AQ44" s="287"/>
    </row>
    <row r="45" spans="1:43" s="288" customFormat="1" ht="31.15" customHeight="1">
      <c r="A45" s="198">
        <v>34</v>
      </c>
      <c r="B45" s="272" t="s">
        <v>74</v>
      </c>
      <c r="C45" s="291" t="s">
        <v>50</v>
      </c>
      <c r="D45" s="210" t="s">
        <v>46</v>
      </c>
      <c r="E45" s="291" t="s">
        <v>330</v>
      </c>
      <c r="F45" s="210" t="s">
        <v>48</v>
      </c>
      <c r="G45" s="200" t="s">
        <v>284</v>
      </c>
      <c r="H45" s="201"/>
      <c r="I45" s="206">
        <v>1</v>
      </c>
      <c r="J45" s="172">
        <v>3.08</v>
      </c>
      <c r="K45" s="171">
        <v>17697</v>
      </c>
      <c r="L45" s="202">
        <f t="shared" si="0"/>
        <v>54506.76</v>
      </c>
      <c r="M45" s="202"/>
      <c r="N45" s="208">
        <f t="shared" si="1"/>
        <v>54506.76</v>
      </c>
      <c r="O45" s="208">
        <f t="shared" si="2"/>
        <v>54506.76</v>
      </c>
      <c r="P45" s="209"/>
      <c r="Q45" s="172"/>
      <c r="R45" s="202"/>
      <c r="S45" s="203">
        <v>1</v>
      </c>
      <c r="T45" s="172">
        <v>40</v>
      </c>
      <c r="U45" s="202">
        <f t="shared" si="36"/>
        <v>7078.8</v>
      </c>
      <c r="V45" s="202"/>
      <c r="W45" s="208"/>
      <c r="X45" s="202"/>
      <c r="Y45" s="202">
        <v>1</v>
      </c>
      <c r="Z45" s="208">
        <v>50</v>
      </c>
      <c r="AA45" s="208">
        <v>20024</v>
      </c>
      <c r="AB45" s="208"/>
      <c r="AC45" s="208"/>
      <c r="AD45" s="208"/>
      <c r="AE45" s="208">
        <v>1354</v>
      </c>
      <c r="AF45" s="208">
        <v>8888</v>
      </c>
      <c r="AG45" s="208"/>
      <c r="AH45" s="208"/>
      <c r="AI45" s="202"/>
      <c r="AJ45" s="202">
        <f t="shared" si="4"/>
        <v>42795.475999999995</v>
      </c>
      <c r="AK45" s="202">
        <f t="shared" si="46"/>
        <v>97302.236000000004</v>
      </c>
      <c r="AL45" s="202">
        <f t="shared" si="3"/>
        <v>5450.6760000000004</v>
      </c>
      <c r="AM45" s="287"/>
      <c r="AN45" s="287"/>
      <c r="AO45" s="287"/>
      <c r="AP45" s="287"/>
      <c r="AQ45" s="287"/>
    </row>
    <row r="46" spans="1:43" s="288" customFormat="1" ht="31.15" customHeight="1">
      <c r="A46" s="198">
        <v>35</v>
      </c>
      <c r="B46" s="272" t="s">
        <v>74</v>
      </c>
      <c r="C46" s="291" t="s">
        <v>47</v>
      </c>
      <c r="D46" s="210" t="s">
        <v>46</v>
      </c>
      <c r="E46" s="291" t="s">
        <v>327</v>
      </c>
      <c r="F46" s="210" t="s">
        <v>48</v>
      </c>
      <c r="G46" s="200" t="s">
        <v>284</v>
      </c>
      <c r="H46" s="201"/>
      <c r="I46" s="206">
        <v>1</v>
      </c>
      <c r="J46" s="172">
        <v>3.29</v>
      </c>
      <c r="K46" s="171">
        <v>17697</v>
      </c>
      <c r="L46" s="202">
        <f t="shared" si="0"/>
        <v>58223.13</v>
      </c>
      <c r="M46" s="202"/>
      <c r="N46" s="208">
        <f t="shared" si="1"/>
        <v>58223.13</v>
      </c>
      <c r="O46" s="208">
        <f t="shared" si="2"/>
        <v>58223.13</v>
      </c>
      <c r="P46" s="209"/>
      <c r="Q46" s="172"/>
      <c r="R46" s="202"/>
      <c r="S46" s="203">
        <v>1</v>
      </c>
      <c r="T46" s="172">
        <v>40</v>
      </c>
      <c r="U46" s="202">
        <f t="shared" si="36"/>
        <v>7078.8</v>
      </c>
      <c r="V46" s="202"/>
      <c r="W46" s="208"/>
      <c r="X46" s="202"/>
      <c r="Y46" s="202">
        <v>1</v>
      </c>
      <c r="Z46" s="208">
        <v>50</v>
      </c>
      <c r="AA46" s="208">
        <v>21389</v>
      </c>
      <c r="AB46" s="208"/>
      <c r="AC46" s="208"/>
      <c r="AD46" s="208"/>
      <c r="AE46" s="208">
        <v>1354</v>
      </c>
      <c r="AF46" s="208">
        <v>8888</v>
      </c>
      <c r="AG46" s="208"/>
      <c r="AH46" s="208"/>
      <c r="AI46" s="202"/>
      <c r="AJ46" s="202">
        <f t="shared" si="4"/>
        <v>44532.112999999998</v>
      </c>
      <c r="AK46" s="202">
        <f t="shared" si="46"/>
        <v>102755.24299999999</v>
      </c>
      <c r="AL46" s="202">
        <f t="shared" si="3"/>
        <v>5822.3130000000001</v>
      </c>
      <c r="AM46" s="287"/>
      <c r="AN46" s="287"/>
      <c r="AO46" s="287"/>
      <c r="AP46" s="287"/>
      <c r="AQ46" s="287"/>
    </row>
    <row r="47" spans="1:43" s="294" customFormat="1" ht="31.15" customHeight="1">
      <c r="A47" s="198">
        <v>36</v>
      </c>
      <c r="B47" s="171" t="s">
        <v>74</v>
      </c>
      <c r="C47" s="210" t="s">
        <v>50</v>
      </c>
      <c r="D47" s="210" t="s">
        <v>46</v>
      </c>
      <c r="E47" s="172" t="s">
        <v>331</v>
      </c>
      <c r="F47" s="200" t="s">
        <v>48</v>
      </c>
      <c r="G47" s="200" t="s">
        <v>284</v>
      </c>
      <c r="H47" s="201"/>
      <c r="I47" s="206">
        <v>1</v>
      </c>
      <c r="J47" s="207">
        <v>3.25</v>
      </c>
      <c r="K47" s="171">
        <v>17697</v>
      </c>
      <c r="L47" s="202">
        <f t="shared" si="0"/>
        <v>57515.25</v>
      </c>
      <c r="M47" s="202"/>
      <c r="N47" s="208">
        <f t="shared" si="1"/>
        <v>57515.25</v>
      </c>
      <c r="O47" s="208">
        <f t="shared" si="2"/>
        <v>57515.25</v>
      </c>
      <c r="P47" s="209"/>
      <c r="Q47" s="172"/>
      <c r="R47" s="202"/>
      <c r="S47" s="203">
        <f>I47</f>
        <v>1</v>
      </c>
      <c r="T47" s="172">
        <v>40</v>
      </c>
      <c r="U47" s="202">
        <f t="shared" si="36"/>
        <v>7078.8</v>
      </c>
      <c r="V47" s="202"/>
      <c r="W47" s="208"/>
      <c r="X47" s="202"/>
      <c r="Y47" s="203">
        <v>1</v>
      </c>
      <c r="Z47" s="208">
        <v>50</v>
      </c>
      <c r="AA47" s="208">
        <v>21129</v>
      </c>
      <c r="AB47" s="208"/>
      <c r="AC47" s="208"/>
      <c r="AD47" s="208"/>
      <c r="AE47" s="208">
        <v>1354</v>
      </c>
      <c r="AF47" s="208">
        <v>8888</v>
      </c>
      <c r="AG47" s="208"/>
      <c r="AH47" s="208"/>
      <c r="AI47" s="202"/>
      <c r="AJ47" s="202">
        <f t="shared" si="4"/>
        <v>44201.324999999997</v>
      </c>
      <c r="AK47" s="202">
        <f t="shared" si="46"/>
        <v>101716.575</v>
      </c>
      <c r="AL47" s="202">
        <f t="shared" si="3"/>
        <v>5751.5250000000005</v>
      </c>
      <c r="AM47" s="293"/>
      <c r="AN47" s="293"/>
      <c r="AO47" s="293"/>
      <c r="AP47" s="293"/>
      <c r="AQ47" s="293"/>
    </row>
    <row r="48" spans="1:43" s="140" customFormat="1" ht="31.15" customHeight="1">
      <c r="A48" s="198">
        <v>37</v>
      </c>
      <c r="B48" s="172" t="s">
        <v>73</v>
      </c>
      <c r="C48" s="172" t="s">
        <v>47</v>
      </c>
      <c r="D48" s="171" t="s">
        <v>219</v>
      </c>
      <c r="E48" s="172" t="s">
        <v>318</v>
      </c>
      <c r="F48" s="172" t="s">
        <v>48</v>
      </c>
      <c r="G48" s="200" t="s">
        <v>261</v>
      </c>
      <c r="H48" s="201"/>
      <c r="I48" s="206">
        <v>1</v>
      </c>
      <c r="J48" s="172">
        <v>5.31</v>
      </c>
      <c r="K48" s="171">
        <v>17697</v>
      </c>
      <c r="L48" s="202">
        <f t="shared" ref="L48:L51" si="47">K48*J48*I48</f>
        <v>93971.069999999992</v>
      </c>
      <c r="M48" s="202"/>
      <c r="N48" s="208">
        <f t="shared" ref="N48:N51" si="48">L48+M48</f>
        <v>93971.069999999992</v>
      </c>
      <c r="O48" s="208">
        <f t="shared" ref="O48:O51" si="49">N48</f>
        <v>93971.069999999992</v>
      </c>
      <c r="P48" s="209"/>
      <c r="Q48" s="172"/>
      <c r="R48" s="202"/>
      <c r="S48" s="203"/>
      <c r="T48" s="172"/>
      <c r="U48" s="202"/>
      <c r="V48" s="202"/>
      <c r="W48" s="208"/>
      <c r="X48" s="202"/>
      <c r="Y48" s="202"/>
      <c r="Z48" s="208"/>
      <c r="AA48" s="208"/>
      <c r="AB48" s="208"/>
      <c r="AC48" s="208"/>
      <c r="AD48" s="208"/>
      <c r="AE48" s="208"/>
      <c r="AF48" s="208"/>
      <c r="AG48" s="208"/>
      <c r="AH48" s="208"/>
      <c r="AI48" s="202"/>
      <c r="AJ48" s="202">
        <f t="shared" si="4"/>
        <v>9397.107</v>
      </c>
      <c r="AK48" s="202">
        <f t="shared" si="46"/>
        <v>103368.177</v>
      </c>
      <c r="AL48" s="202">
        <f t="shared" ref="AL48" si="50">N48*10%</f>
        <v>9397.107</v>
      </c>
      <c r="AM48" s="139"/>
      <c r="AN48" s="139"/>
      <c r="AO48" s="139"/>
      <c r="AP48" s="139"/>
      <c r="AQ48" s="139"/>
    </row>
    <row r="49" spans="1:43" s="140" customFormat="1" ht="31.15" customHeight="1">
      <c r="A49" s="198">
        <v>38</v>
      </c>
      <c r="B49" s="171" t="s">
        <v>78</v>
      </c>
      <c r="C49" s="210" t="s">
        <v>50</v>
      </c>
      <c r="D49" s="210" t="s">
        <v>46</v>
      </c>
      <c r="E49" s="210" t="s">
        <v>46</v>
      </c>
      <c r="F49" s="210" t="s">
        <v>46</v>
      </c>
      <c r="G49" s="200">
        <v>4</v>
      </c>
      <c r="H49" s="213"/>
      <c r="I49" s="206">
        <v>1</v>
      </c>
      <c r="J49" s="172">
        <v>2.89</v>
      </c>
      <c r="K49" s="171">
        <v>17697</v>
      </c>
      <c r="L49" s="202">
        <f t="shared" si="47"/>
        <v>51144.33</v>
      </c>
      <c r="M49" s="202"/>
      <c r="N49" s="208">
        <f t="shared" si="48"/>
        <v>51144.33</v>
      </c>
      <c r="O49" s="208">
        <f t="shared" si="49"/>
        <v>51144.33</v>
      </c>
      <c r="P49" s="209"/>
      <c r="Q49" s="172"/>
      <c r="R49" s="202"/>
      <c r="S49" s="203"/>
      <c r="T49" s="172"/>
      <c r="U49" s="202"/>
      <c r="V49" s="202"/>
      <c r="W49" s="208"/>
      <c r="X49" s="202"/>
      <c r="Y49" s="202"/>
      <c r="Z49" s="208"/>
      <c r="AA49" s="208"/>
      <c r="AB49" s="208"/>
      <c r="AC49" s="208"/>
      <c r="AD49" s="208"/>
      <c r="AE49" s="208">
        <v>1140</v>
      </c>
      <c r="AF49" s="208">
        <v>7389</v>
      </c>
      <c r="AG49" s="208">
        <f>I49</f>
        <v>1</v>
      </c>
      <c r="AH49" s="208">
        <v>30</v>
      </c>
      <c r="AI49" s="202">
        <f t="shared" ref="AI49:AI54" si="51">K49*AG49*AH49/100</f>
        <v>5309.1</v>
      </c>
      <c r="AJ49" s="202">
        <f t="shared" si="4"/>
        <v>18952.533000000003</v>
      </c>
      <c r="AK49" s="202">
        <f t="shared" si="46"/>
        <v>70096.863000000012</v>
      </c>
      <c r="AL49" s="202">
        <f t="shared" ref="AL49:AL51" si="52">N49*10%</f>
        <v>5114.4330000000009</v>
      </c>
      <c r="AM49" s="139"/>
      <c r="AN49" s="139"/>
      <c r="AO49" s="139"/>
      <c r="AP49" s="139"/>
      <c r="AQ49" s="139"/>
    </row>
    <row r="50" spans="1:43" s="140" customFormat="1" ht="31.15" customHeight="1">
      <c r="A50" s="198">
        <v>39</v>
      </c>
      <c r="B50" s="171" t="s">
        <v>78</v>
      </c>
      <c r="C50" s="210" t="s">
        <v>50</v>
      </c>
      <c r="D50" s="210" t="s">
        <v>46</v>
      </c>
      <c r="E50" s="210" t="s">
        <v>46</v>
      </c>
      <c r="F50" s="210" t="s">
        <v>46</v>
      </c>
      <c r="G50" s="200">
        <v>4</v>
      </c>
      <c r="H50" s="213"/>
      <c r="I50" s="206">
        <v>1</v>
      </c>
      <c r="J50" s="172">
        <v>2.89</v>
      </c>
      <c r="K50" s="171">
        <v>17697</v>
      </c>
      <c r="L50" s="202">
        <f t="shared" si="47"/>
        <v>51144.33</v>
      </c>
      <c r="M50" s="202"/>
      <c r="N50" s="208">
        <f t="shared" si="48"/>
        <v>51144.33</v>
      </c>
      <c r="O50" s="208">
        <f t="shared" si="49"/>
        <v>51144.33</v>
      </c>
      <c r="P50" s="209"/>
      <c r="Q50" s="172"/>
      <c r="R50" s="202"/>
      <c r="S50" s="203"/>
      <c r="T50" s="172"/>
      <c r="U50" s="202"/>
      <c r="V50" s="202"/>
      <c r="W50" s="208"/>
      <c r="X50" s="202"/>
      <c r="Y50" s="202"/>
      <c r="Z50" s="208"/>
      <c r="AA50" s="208"/>
      <c r="AB50" s="208"/>
      <c r="AC50" s="208"/>
      <c r="AD50" s="208"/>
      <c r="AE50" s="208">
        <v>1140</v>
      </c>
      <c r="AF50" s="208">
        <v>7389</v>
      </c>
      <c r="AG50" s="208">
        <f>I50</f>
        <v>1</v>
      </c>
      <c r="AH50" s="208">
        <v>30</v>
      </c>
      <c r="AI50" s="202">
        <f t="shared" si="51"/>
        <v>5309.1</v>
      </c>
      <c r="AJ50" s="202">
        <f t="shared" si="4"/>
        <v>18952.533000000003</v>
      </c>
      <c r="AK50" s="202">
        <f t="shared" si="46"/>
        <v>70096.863000000012</v>
      </c>
      <c r="AL50" s="202">
        <f t="shared" si="52"/>
        <v>5114.4330000000009</v>
      </c>
      <c r="AM50" s="139"/>
      <c r="AN50" s="139"/>
      <c r="AO50" s="139"/>
      <c r="AP50" s="139"/>
      <c r="AQ50" s="139"/>
    </row>
    <row r="51" spans="1:43" s="140" customFormat="1" ht="31.15" customHeight="1">
      <c r="A51" s="198">
        <v>40</v>
      </c>
      <c r="B51" s="171" t="s">
        <v>77</v>
      </c>
      <c r="C51" s="210" t="s">
        <v>46</v>
      </c>
      <c r="D51" s="210" t="s">
        <v>46</v>
      </c>
      <c r="E51" s="210" t="s">
        <v>46</v>
      </c>
      <c r="F51" s="210" t="s">
        <v>46</v>
      </c>
      <c r="G51" s="200">
        <v>2</v>
      </c>
      <c r="H51" s="213"/>
      <c r="I51" s="206">
        <v>1</v>
      </c>
      <c r="J51" s="172">
        <v>2.81</v>
      </c>
      <c r="K51" s="171">
        <v>17697</v>
      </c>
      <c r="L51" s="202">
        <f t="shared" si="47"/>
        <v>49728.57</v>
      </c>
      <c r="M51" s="202"/>
      <c r="N51" s="208">
        <f t="shared" si="48"/>
        <v>49728.57</v>
      </c>
      <c r="O51" s="208">
        <f t="shared" si="49"/>
        <v>49728.57</v>
      </c>
      <c r="P51" s="209"/>
      <c r="Q51" s="172"/>
      <c r="R51" s="202"/>
      <c r="S51" s="203"/>
      <c r="T51" s="172"/>
      <c r="U51" s="202"/>
      <c r="V51" s="202"/>
      <c r="W51" s="208"/>
      <c r="X51" s="202"/>
      <c r="Y51" s="202"/>
      <c r="Z51" s="208"/>
      <c r="AA51" s="208"/>
      <c r="AB51" s="208"/>
      <c r="AC51" s="208"/>
      <c r="AD51" s="208"/>
      <c r="AE51" s="208"/>
      <c r="AF51" s="208">
        <v>3200</v>
      </c>
      <c r="AG51" s="208">
        <v>1</v>
      </c>
      <c r="AH51" s="208">
        <v>30</v>
      </c>
      <c r="AI51" s="202">
        <f t="shared" si="51"/>
        <v>5309.1</v>
      </c>
      <c r="AJ51" s="202">
        <f t="shared" si="4"/>
        <v>13481.957</v>
      </c>
      <c r="AK51" s="202">
        <f t="shared" si="46"/>
        <v>63210.527000000002</v>
      </c>
      <c r="AL51" s="202">
        <f t="shared" si="52"/>
        <v>4972.857</v>
      </c>
      <c r="AM51" s="139"/>
      <c r="AN51" s="139"/>
      <c r="AO51" s="139"/>
      <c r="AP51" s="139"/>
      <c r="AQ51" s="139"/>
    </row>
    <row r="52" spans="1:43" s="140" customFormat="1" ht="31.15" customHeight="1">
      <c r="A52" s="198">
        <v>41</v>
      </c>
      <c r="B52" s="171" t="s">
        <v>77</v>
      </c>
      <c r="C52" s="210" t="s">
        <v>46</v>
      </c>
      <c r="D52" s="210" t="s">
        <v>46</v>
      </c>
      <c r="E52" s="210" t="s">
        <v>46</v>
      </c>
      <c r="F52" s="210" t="s">
        <v>46</v>
      </c>
      <c r="G52" s="200">
        <v>2</v>
      </c>
      <c r="H52" s="213"/>
      <c r="I52" s="206">
        <v>1</v>
      </c>
      <c r="J52" s="172">
        <v>2.81</v>
      </c>
      <c r="K52" s="171">
        <v>17697</v>
      </c>
      <c r="L52" s="202">
        <f t="shared" ref="L52:L62" si="53">K52*J52*I52</f>
        <v>49728.57</v>
      </c>
      <c r="M52" s="202"/>
      <c r="N52" s="208">
        <f t="shared" ref="N52:N62" si="54">L52+M52</f>
        <v>49728.57</v>
      </c>
      <c r="O52" s="208">
        <f t="shared" ref="O52:O62" si="55">N52</f>
        <v>49728.57</v>
      </c>
      <c r="P52" s="209"/>
      <c r="Q52" s="172"/>
      <c r="R52" s="202"/>
      <c r="S52" s="203"/>
      <c r="T52" s="172"/>
      <c r="U52" s="202"/>
      <c r="V52" s="202"/>
      <c r="W52" s="208"/>
      <c r="X52" s="202"/>
      <c r="Y52" s="202"/>
      <c r="Z52" s="208"/>
      <c r="AA52" s="208"/>
      <c r="AB52" s="208"/>
      <c r="AC52" s="208"/>
      <c r="AD52" s="208"/>
      <c r="AE52" s="208">
        <v>739</v>
      </c>
      <c r="AF52" s="208">
        <v>3200</v>
      </c>
      <c r="AG52" s="208">
        <v>1</v>
      </c>
      <c r="AH52" s="208">
        <v>30</v>
      </c>
      <c r="AI52" s="202">
        <f t="shared" si="51"/>
        <v>5309.1</v>
      </c>
      <c r="AJ52" s="202">
        <f t="shared" si="4"/>
        <v>14220.957</v>
      </c>
      <c r="AK52" s="202">
        <f t="shared" si="46"/>
        <v>63949.527000000002</v>
      </c>
      <c r="AL52" s="202">
        <f t="shared" ref="AL52:AL62" si="56">N52*10%</f>
        <v>4972.857</v>
      </c>
      <c r="AM52" s="139"/>
      <c r="AN52" s="139"/>
      <c r="AO52" s="139"/>
      <c r="AP52" s="139"/>
      <c r="AQ52" s="139"/>
    </row>
    <row r="53" spans="1:43" s="140" customFormat="1" ht="31.15" customHeight="1">
      <c r="A53" s="198">
        <v>42</v>
      </c>
      <c r="B53" s="171" t="s">
        <v>77</v>
      </c>
      <c r="C53" s="210" t="s">
        <v>46</v>
      </c>
      <c r="D53" s="210" t="s">
        <v>46</v>
      </c>
      <c r="E53" s="210" t="s">
        <v>46</v>
      </c>
      <c r="F53" s="210" t="s">
        <v>46</v>
      </c>
      <c r="G53" s="200">
        <v>2</v>
      </c>
      <c r="H53" s="213"/>
      <c r="I53" s="206">
        <v>1</v>
      </c>
      <c r="J53" s="172">
        <v>2.81</v>
      </c>
      <c r="K53" s="171">
        <v>17697</v>
      </c>
      <c r="L53" s="202">
        <f t="shared" si="53"/>
        <v>49728.57</v>
      </c>
      <c r="M53" s="202"/>
      <c r="N53" s="208">
        <f t="shared" si="54"/>
        <v>49728.57</v>
      </c>
      <c r="O53" s="208">
        <f t="shared" si="55"/>
        <v>49728.57</v>
      </c>
      <c r="P53" s="209"/>
      <c r="Q53" s="172"/>
      <c r="R53" s="202"/>
      <c r="S53" s="203"/>
      <c r="T53" s="172"/>
      <c r="U53" s="202"/>
      <c r="V53" s="202"/>
      <c r="W53" s="208"/>
      <c r="X53" s="202"/>
      <c r="Y53" s="202"/>
      <c r="Z53" s="208"/>
      <c r="AA53" s="208"/>
      <c r="AB53" s="208"/>
      <c r="AC53" s="208"/>
      <c r="AD53" s="208"/>
      <c r="AE53" s="208">
        <v>739</v>
      </c>
      <c r="AF53" s="208">
        <v>3200</v>
      </c>
      <c r="AG53" s="208">
        <v>1</v>
      </c>
      <c r="AH53" s="208">
        <v>30</v>
      </c>
      <c r="AI53" s="202">
        <f t="shared" si="51"/>
        <v>5309.1</v>
      </c>
      <c r="AJ53" s="202">
        <f t="shared" si="4"/>
        <v>14220.957</v>
      </c>
      <c r="AK53" s="202">
        <f t="shared" si="46"/>
        <v>63949.527000000002</v>
      </c>
      <c r="AL53" s="202">
        <f t="shared" si="56"/>
        <v>4972.857</v>
      </c>
      <c r="AM53" s="139"/>
      <c r="AN53" s="139"/>
      <c r="AO53" s="139"/>
      <c r="AP53" s="139"/>
      <c r="AQ53" s="139"/>
    </row>
    <row r="54" spans="1:43" s="140" customFormat="1" ht="31.15" customHeight="1">
      <c r="A54" s="198">
        <v>43</v>
      </c>
      <c r="B54" s="171" t="s">
        <v>79</v>
      </c>
      <c r="C54" s="210" t="s">
        <v>50</v>
      </c>
      <c r="D54" s="210" t="s">
        <v>46</v>
      </c>
      <c r="E54" s="210" t="s">
        <v>46</v>
      </c>
      <c r="F54" s="210" t="s">
        <v>46</v>
      </c>
      <c r="G54" s="200">
        <v>2</v>
      </c>
      <c r="H54" s="201"/>
      <c r="I54" s="206">
        <v>1</v>
      </c>
      <c r="J54" s="172">
        <v>2.81</v>
      </c>
      <c r="K54" s="171">
        <v>17697</v>
      </c>
      <c r="L54" s="202">
        <f t="shared" si="53"/>
        <v>49728.57</v>
      </c>
      <c r="M54" s="202"/>
      <c r="N54" s="208">
        <f t="shared" si="54"/>
        <v>49728.57</v>
      </c>
      <c r="O54" s="208">
        <f t="shared" si="55"/>
        <v>49728.57</v>
      </c>
      <c r="P54" s="209"/>
      <c r="Q54" s="172"/>
      <c r="R54" s="202"/>
      <c r="S54" s="203"/>
      <c r="T54" s="172"/>
      <c r="U54" s="202"/>
      <c r="V54" s="202"/>
      <c r="W54" s="208"/>
      <c r="X54" s="202"/>
      <c r="Y54" s="202"/>
      <c r="Z54" s="208"/>
      <c r="AA54" s="208"/>
      <c r="AB54" s="208"/>
      <c r="AC54" s="208"/>
      <c r="AD54" s="208"/>
      <c r="AE54" s="208">
        <v>739</v>
      </c>
      <c r="AF54" s="208"/>
      <c r="AG54" s="208">
        <f>I54</f>
        <v>1</v>
      </c>
      <c r="AH54" s="208">
        <v>30</v>
      </c>
      <c r="AI54" s="202">
        <f t="shared" si="51"/>
        <v>5309.1</v>
      </c>
      <c r="AJ54" s="202">
        <f t="shared" si="4"/>
        <v>11020.957</v>
      </c>
      <c r="AK54" s="202">
        <f t="shared" si="46"/>
        <v>60749.527000000002</v>
      </c>
      <c r="AL54" s="202">
        <f t="shared" si="56"/>
        <v>4972.857</v>
      </c>
      <c r="AM54" s="139"/>
      <c r="AN54" s="139"/>
      <c r="AO54" s="139"/>
      <c r="AP54" s="139"/>
      <c r="AQ54" s="139"/>
    </row>
    <row r="55" spans="1:43" s="140" customFormat="1" ht="31.15" customHeight="1">
      <c r="A55" s="198">
        <v>44</v>
      </c>
      <c r="B55" s="172" t="s">
        <v>63</v>
      </c>
      <c r="C55" s="172" t="s">
        <v>47</v>
      </c>
      <c r="D55" s="210" t="s">
        <v>46</v>
      </c>
      <c r="E55" s="210" t="s">
        <v>46</v>
      </c>
      <c r="F55" s="210" t="s">
        <v>46</v>
      </c>
      <c r="G55" s="200">
        <v>2</v>
      </c>
      <c r="H55" s="213"/>
      <c r="I55" s="206">
        <v>1</v>
      </c>
      <c r="J55" s="172">
        <v>2.81</v>
      </c>
      <c r="K55" s="171">
        <v>17697</v>
      </c>
      <c r="L55" s="202">
        <f t="shared" si="53"/>
        <v>49728.57</v>
      </c>
      <c r="M55" s="202"/>
      <c r="N55" s="208">
        <f t="shared" si="54"/>
        <v>49728.57</v>
      </c>
      <c r="O55" s="208">
        <f t="shared" si="55"/>
        <v>49728.57</v>
      </c>
      <c r="P55" s="209"/>
      <c r="Q55" s="172"/>
      <c r="R55" s="202"/>
      <c r="S55" s="203"/>
      <c r="T55" s="172"/>
      <c r="U55" s="202"/>
      <c r="V55" s="202"/>
      <c r="W55" s="208"/>
      <c r="X55" s="202"/>
      <c r="Y55" s="202"/>
      <c r="Z55" s="208"/>
      <c r="AA55" s="208"/>
      <c r="AB55" s="208"/>
      <c r="AC55" s="208"/>
      <c r="AD55" s="208"/>
      <c r="AE55" s="208"/>
      <c r="AF55" s="208">
        <v>5336</v>
      </c>
      <c r="AG55" s="208"/>
      <c r="AH55" s="208"/>
      <c r="AI55" s="202"/>
      <c r="AJ55" s="202">
        <f t="shared" si="4"/>
        <v>10308.857</v>
      </c>
      <c r="AK55" s="202">
        <f t="shared" si="46"/>
        <v>60037.426999999996</v>
      </c>
      <c r="AL55" s="202">
        <f t="shared" si="56"/>
        <v>4972.857</v>
      </c>
      <c r="AM55" s="139"/>
      <c r="AN55" s="139"/>
      <c r="AO55" s="139"/>
      <c r="AP55" s="139"/>
      <c r="AQ55" s="139"/>
    </row>
    <row r="56" spans="1:43" s="140" customFormat="1" ht="31.15" customHeight="1">
      <c r="A56" s="198">
        <v>45</v>
      </c>
      <c r="B56" s="171" t="s">
        <v>61</v>
      </c>
      <c r="C56" s="210" t="s">
        <v>50</v>
      </c>
      <c r="D56" s="210" t="s">
        <v>46</v>
      </c>
      <c r="E56" s="210" t="s">
        <v>46</v>
      </c>
      <c r="F56" s="210" t="s">
        <v>46</v>
      </c>
      <c r="G56" s="200">
        <v>2</v>
      </c>
      <c r="H56" s="213"/>
      <c r="I56" s="206">
        <v>1</v>
      </c>
      <c r="J56" s="172">
        <v>2.81</v>
      </c>
      <c r="K56" s="171">
        <v>17697</v>
      </c>
      <c r="L56" s="202">
        <f t="shared" si="53"/>
        <v>49728.57</v>
      </c>
      <c r="M56" s="202"/>
      <c r="N56" s="208">
        <f t="shared" si="54"/>
        <v>49728.57</v>
      </c>
      <c r="O56" s="208">
        <f t="shared" si="55"/>
        <v>49728.57</v>
      </c>
      <c r="P56" s="209"/>
      <c r="Q56" s="172"/>
      <c r="R56" s="202"/>
      <c r="S56" s="203"/>
      <c r="T56" s="172"/>
      <c r="U56" s="202"/>
      <c r="V56" s="202"/>
      <c r="W56" s="208"/>
      <c r="X56" s="202"/>
      <c r="Y56" s="202"/>
      <c r="Z56" s="208"/>
      <c r="AA56" s="208"/>
      <c r="AB56" s="208"/>
      <c r="AC56" s="208"/>
      <c r="AD56" s="208"/>
      <c r="AE56" s="208"/>
      <c r="AF56" s="208"/>
      <c r="AG56" s="208">
        <v>1</v>
      </c>
      <c r="AH56" s="208">
        <v>30</v>
      </c>
      <c r="AI56" s="202">
        <f t="shared" ref="AI56:AI62" si="57">K56*AG56*AH56/100</f>
        <v>5309.1</v>
      </c>
      <c r="AJ56" s="202">
        <f t="shared" si="4"/>
        <v>10281.957</v>
      </c>
      <c r="AK56" s="202">
        <f t="shared" si="46"/>
        <v>60010.527000000002</v>
      </c>
      <c r="AL56" s="202">
        <f t="shared" si="56"/>
        <v>4972.857</v>
      </c>
      <c r="AM56" s="139"/>
      <c r="AN56" s="139"/>
      <c r="AO56" s="139"/>
      <c r="AP56" s="139"/>
      <c r="AQ56" s="139"/>
    </row>
    <row r="57" spans="1:43" s="140" customFormat="1" ht="31.15" customHeight="1">
      <c r="A57" s="198">
        <v>46</v>
      </c>
      <c r="B57" s="171" t="s">
        <v>61</v>
      </c>
      <c r="C57" s="210" t="s">
        <v>50</v>
      </c>
      <c r="D57" s="210" t="s">
        <v>46</v>
      </c>
      <c r="E57" s="210" t="s">
        <v>46</v>
      </c>
      <c r="F57" s="210" t="s">
        <v>46</v>
      </c>
      <c r="G57" s="200">
        <v>2</v>
      </c>
      <c r="H57" s="213"/>
      <c r="I57" s="206">
        <v>1</v>
      </c>
      <c r="J57" s="172">
        <v>2.81</v>
      </c>
      <c r="K57" s="171">
        <v>17697</v>
      </c>
      <c r="L57" s="202">
        <f t="shared" si="53"/>
        <v>49728.57</v>
      </c>
      <c r="M57" s="202"/>
      <c r="N57" s="208">
        <f t="shared" si="54"/>
        <v>49728.57</v>
      </c>
      <c r="O57" s="208">
        <f t="shared" si="55"/>
        <v>49728.57</v>
      </c>
      <c r="P57" s="209"/>
      <c r="Q57" s="172"/>
      <c r="R57" s="202"/>
      <c r="S57" s="203"/>
      <c r="T57" s="172"/>
      <c r="U57" s="202"/>
      <c r="V57" s="202"/>
      <c r="W57" s="208"/>
      <c r="X57" s="202"/>
      <c r="Y57" s="202"/>
      <c r="Z57" s="208"/>
      <c r="AA57" s="208"/>
      <c r="AB57" s="208"/>
      <c r="AC57" s="208"/>
      <c r="AD57" s="208"/>
      <c r="AE57" s="208"/>
      <c r="AF57" s="208"/>
      <c r="AG57" s="208">
        <v>1</v>
      </c>
      <c r="AH57" s="208">
        <v>30</v>
      </c>
      <c r="AI57" s="202">
        <f t="shared" si="57"/>
        <v>5309.1</v>
      </c>
      <c r="AJ57" s="202">
        <f t="shared" si="4"/>
        <v>10281.957</v>
      </c>
      <c r="AK57" s="202">
        <f t="shared" si="46"/>
        <v>60010.527000000002</v>
      </c>
      <c r="AL57" s="202">
        <f t="shared" si="56"/>
        <v>4972.857</v>
      </c>
      <c r="AM57" s="139"/>
      <c r="AN57" s="139"/>
      <c r="AO57" s="139"/>
      <c r="AP57" s="139"/>
      <c r="AQ57" s="139"/>
    </row>
    <row r="58" spans="1:43" s="140" customFormat="1" ht="31.15" customHeight="1">
      <c r="A58" s="198">
        <v>47</v>
      </c>
      <c r="B58" s="171" t="s">
        <v>61</v>
      </c>
      <c r="C58" s="210" t="s">
        <v>50</v>
      </c>
      <c r="D58" s="210" t="s">
        <v>46</v>
      </c>
      <c r="E58" s="210" t="s">
        <v>46</v>
      </c>
      <c r="F58" s="210" t="s">
        <v>46</v>
      </c>
      <c r="G58" s="200">
        <v>2</v>
      </c>
      <c r="H58" s="213"/>
      <c r="I58" s="206">
        <v>1</v>
      </c>
      <c r="J58" s="172">
        <v>2.81</v>
      </c>
      <c r="K58" s="171">
        <v>17697</v>
      </c>
      <c r="L58" s="202">
        <f t="shared" si="53"/>
        <v>49728.57</v>
      </c>
      <c r="M58" s="202"/>
      <c r="N58" s="208">
        <f t="shared" si="54"/>
        <v>49728.57</v>
      </c>
      <c r="O58" s="208">
        <f t="shared" si="55"/>
        <v>49728.57</v>
      </c>
      <c r="P58" s="209"/>
      <c r="Q58" s="172"/>
      <c r="R58" s="202"/>
      <c r="S58" s="203"/>
      <c r="T58" s="172"/>
      <c r="U58" s="202"/>
      <c r="V58" s="202"/>
      <c r="W58" s="208"/>
      <c r="X58" s="202"/>
      <c r="Y58" s="202"/>
      <c r="Z58" s="208"/>
      <c r="AA58" s="208"/>
      <c r="AB58" s="208"/>
      <c r="AC58" s="208"/>
      <c r="AD58" s="208"/>
      <c r="AE58" s="208"/>
      <c r="AF58" s="208"/>
      <c r="AG58" s="208">
        <v>1</v>
      </c>
      <c r="AH58" s="208">
        <v>30</v>
      </c>
      <c r="AI58" s="202">
        <f t="shared" si="57"/>
        <v>5309.1</v>
      </c>
      <c r="AJ58" s="202">
        <f t="shared" si="4"/>
        <v>10281.957</v>
      </c>
      <c r="AK58" s="202">
        <f t="shared" si="46"/>
        <v>60010.527000000002</v>
      </c>
      <c r="AL58" s="202">
        <f t="shared" si="56"/>
        <v>4972.857</v>
      </c>
      <c r="AM58" s="139"/>
      <c r="AN58" s="139"/>
      <c r="AO58" s="139"/>
      <c r="AP58" s="139"/>
      <c r="AQ58" s="139"/>
    </row>
    <row r="59" spans="1:43" s="140" customFormat="1" ht="31.15" customHeight="1">
      <c r="A59" s="198">
        <v>48</v>
      </c>
      <c r="B59" s="171" t="s">
        <v>61</v>
      </c>
      <c r="C59" s="210" t="s">
        <v>50</v>
      </c>
      <c r="D59" s="210" t="s">
        <v>46</v>
      </c>
      <c r="E59" s="210" t="s">
        <v>46</v>
      </c>
      <c r="F59" s="210" t="s">
        <v>46</v>
      </c>
      <c r="G59" s="200">
        <v>2</v>
      </c>
      <c r="H59" s="213"/>
      <c r="I59" s="206">
        <v>1</v>
      </c>
      <c r="J59" s="172">
        <v>2.81</v>
      </c>
      <c r="K59" s="171">
        <v>17697</v>
      </c>
      <c r="L59" s="202">
        <f t="shared" si="53"/>
        <v>49728.57</v>
      </c>
      <c r="M59" s="202"/>
      <c r="N59" s="208">
        <f t="shared" si="54"/>
        <v>49728.57</v>
      </c>
      <c r="O59" s="208">
        <f t="shared" si="55"/>
        <v>49728.57</v>
      </c>
      <c r="P59" s="209"/>
      <c r="Q59" s="172"/>
      <c r="R59" s="202"/>
      <c r="S59" s="203"/>
      <c r="T59" s="172"/>
      <c r="U59" s="202"/>
      <c r="V59" s="202"/>
      <c r="W59" s="208"/>
      <c r="X59" s="202"/>
      <c r="Y59" s="202"/>
      <c r="Z59" s="208"/>
      <c r="AA59" s="208"/>
      <c r="AB59" s="208"/>
      <c r="AC59" s="208"/>
      <c r="AD59" s="208"/>
      <c r="AE59" s="208"/>
      <c r="AF59" s="208"/>
      <c r="AG59" s="208">
        <v>1</v>
      </c>
      <c r="AH59" s="208">
        <v>30</v>
      </c>
      <c r="AI59" s="202">
        <f t="shared" si="57"/>
        <v>5309.1</v>
      </c>
      <c r="AJ59" s="202">
        <f t="shared" si="4"/>
        <v>10281.957</v>
      </c>
      <c r="AK59" s="202">
        <f t="shared" si="46"/>
        <v>60010.527000000002</v>
      </c>
      <c r="AL59" s="202">
        <f t="shared" si="56"/>
        <v>4972.857</v>
      </c>
      <c r="AM59" s="139"/>
      <c r="AN59" s="139"/>
      <c r="AO59" s="139"/>
      <c r="AP59" s="139"/>
      <c r="AQ59" s="139"/>
    </row>
    <row r="60" spans="1:43" s="140" customFormat="1" ht="31.15" customHeight="1">
      <c r="A60" s="198">
        <v>49</v>
      </c>
      <c r="B60" s="171" t="s">
        <v>61</v>
      </c>
      <c r="C60" s="210" t="s">
        <v>50</v>
      </c>
      <c r="D60" s="210" t="s">
        <v>46</v>
      </c>
      <c r="E60" s="210" t="s">
        <v>46</v>
      </c>
      <c r="F60" s="210" t="s">
        <v>46</v>
      </c>
      <c r="G60" s="200">
        <v>2</v>
      </c>
      <c r="H60" s="213"/>
      <c r="I60" s="206">
        <v>1</v>
      </c>
      <c r="J60" s="172">
        <v>2.81</v>
      </c>
      <c r="K60" s="171">
        <v>17697</v>
      </c>
      <c r="L60" s="202">
        <f t="shared" si="53"/>
        <v>49728.57</v>
      </c>
      <c r="M60" s="202"/>
      <c r="N60" s="208">
        <f t="shared" si="54"/>
        <v>49728.57</v>
      </c>
      <c r="O60" s="208">
        <f t="shared" si="55"/>
        <v>49728.57</v>
      </c>
      <c r="P60" s="209"/>
      <c r="Q60" s="172"/>
      <c r="R60" s="202"/>
      <c r="S60" s="203"/>
      <c r="T60" s="172"/>
      <c r="U60" s="202"/>
      <c r="V60" s="202"/>
      <c r="W60" s="208"/>
      <c r="X60" s="202"/>
      <c r="Y60" s="202"/>
      <c r="Z60" s="208"/>
      <c r="AA60" s="208"/>
      <c r="AB60" s="208"/>
      <c r="AC60" s="208"/>
      <c r="AD60" s="208"/>
      <c r="AE60" s="208"/>
      <c r="AF60" s="208"/>
      <c r="AG60" s="208">
        <v>1</v>
      </c>
      <c r="AH60" s="208">
        <v>30</v>
      </c>
      <c r="AI60" s="202">
        <f t="shared" si="57"/>
        <v>5309.1</v>
      </c>
      <c r="AJ60" s="202">
        <f t="shared" si="4"/>
        <v>10281.957</v>
      </c>
      <c r="AK60" s="202">
        <f t="shared" si="46"/>
        <v>60010.527000000002</v>
      </c>
      <c r="AL60" s="202">
        <f t="shared" si="56"/>
        <v>4972.857</v>
      </c>
      <c r="AM60" s="139"/>
      <c r="AN60" s="139"/>
      <c r="AO60" s="139"/>
      <c r="AP60" s="139"/>
      <c r="AQ60" s="139"/>
    </row>
    <row r="61" spans="1:43" s="140" customFormat="1" ht="31.15" customHeight="1">
      <c r="A61" s="198">
        <v>50</v>
      </c>
      <c r="B61" s="171" t="s">
        <v>61</v>
      </c>
      <c r="C61" s="210" t="s">
        <v>50</v>
      </c>
      <c r="D61" s="210" t="s">
        <v>46</v>
      </c>
      <c r="E61" s="210" t="s">
        <v>46</v>
      </c>
      <c r="F61" s="210" t="s">
        <v>46</v>
      </c>
      <c r="G61" s="200">
        <v>2</v>
      </c>
      <c r="H61" s="213"/>
      <c r="I61" s="206">
        <v>1</v>
      </c>
      <c r="J61" s="172">
        <v>2.81</v>
      </c>
      <c r="K61" s="171">
        <v>17697</v>
      </c>
      <c r="L61" s="202">
        <f t="shared" si="53"/>
        <v>49728.57</v>
      </c>
      <c r="M61" s="202"/>
      <c r="N61" s="208">
        <f t="shared" si="54"/>
        <v>49728.57</v>
      </c>
      <c r="O61" s="208">
        <f t="shared" si="55"/>
        <v>49728.57</v>
      </c>
      <c r="P61" s="209"/>
      <c r="Q61" s="172"/>
      <c r="R61" s="202"/>
      <c r="S61" s="203"/>
      <c r="T61" s="172"/>
      <c r="U61" s="202"/>
      <c r="V61" s="202"/>
      <c r="W61" s="208"/>
      <c r="X61" s="202"/>
      <c r="Y61" s="202"/>
      <c r="Z61" s="208"/>
      <c r="AA61" s="208"/>
      <c r="AB61" s="208"/>
      <c r="AC61" s="208"/>
      <c r="AD61" s="208"/>
      <c r="AE61" s="208"/>
      <c r="AF61" s="208"/>
      <c r="AG61" s="208">
        <v>1</v>
      </c>
      <c r="AH61" s="208">
        <v>30</v>
      </c>
      <c r="AI61" s="202">
        <f t="shared" si="57"/>
        <v>5309.1</v>
      </c>
      <c r="AJ61" s="202">
        <f t="shared" si="4"/>
        <v>10281.957</v>
      </c>
      <c r="AK61" s="202">
        <f t="shared" si="46"/>
        <v>60010.527000000002</v>
      </c>
      <c r="AL61" s="202">
        <f t="shared" si="56"/>
        <v>4972.857</v>
      </c>
      <c r="AM61" s="139"/>
      <c r="AN61" s="139"/>
      <c r="AO61" s="139"/>
      <c r="AP61" s="139"/>
      <c r="AQ61" s="139"/>
    </row>
    <row r="62" spans="1:43" s="140" customFormat="1" ht="31.15" customHeight="1">
      <c r="A62" s="198">
        <v>51</v>
      </c>
      <c r="B62" s="171" t="s">
        <v>61</v>
      </c>
      <c r="C62" s="210" t="s">
        <v>50</v>
      </c>
      <c r="D62" s="210" t="s">
        <v>46</v>
      </c>
      <c r="E62" s="210" t="s">
        <v>46</v>
      </c>
      <c r="F62" s="210" t="s">
        <v>46</v>
      </c>
      <c r="G62" s="200">
        <v>2</v>
      </c>
      <c r="H62" s="213"/>
      <c r="I62" s="206">
        <v>1</v>
      </c>
      <c r="J62" s="172">
        <v>2.81</v>
      </c>
      <c r="K62" s="171">
        <v>17697</v>
      </c>
      <c r="L62" s="202">
        <f t="shared" si="53"/>
        <v>49728.57</v>
      </c>
      <c r="M62" s="202"/>
      <c r="N62" s="208">
        <f t="shared" si="54"/>
        <v>49728.57</v>
      </c>
      <c r="O62" s="208">
        <f t="shared" si="55"/>
        <v>49728.57</v>
      </c>
      <c r="P62" s="209"/>
      <c r="Q62" s="172"/>
      <c r="R62" s="202"/>
      <c r="S62" s="203"/>
      <c r="T62" s="172"/>
      <c r="U62" s="202"/>
      <c r="V62" s="202"/>
      <c r="W62" s="208"/>
      <c r="X62" s="202"/>
      <c r="Y62" s="202"/>
      <c r="Z62" s="208"/>
      <c r="AA62" s="208"/>
      <c r="AB62" s="208"/>
      <c r="AC62" s="208"/>
      <c r="AD62" s="208"/>
      <c r="AE62" s="208"/>
      <c r="AF62" s="208"/>
      <c r="AG62" s="208">
        <v>1</v>
      </c>
      <c r="AH62" s="208">
        <v>30</v>
      </c>
      <c r="AI62" s="202">
        <f t="shared" si="57"/>
        <v>5309.1</v>
      </c>
      <c r="AJ62" s="202">
        <f t="shared" si="4"/>
        <v>10281.957</v>
      </c>
      <c r="AK62" s="202">
        <f t="shared" si="46"/>
        <v>60010.527000000002</v>
      </c>
      <c r="AL62" s="202">
        <f t="shared" si="56"/>
        <v>4972.857</v>
      </c>
      <c r="AM62" s="139"/>
      <c r="AN62" s="139"/>
      <c r="AO62" s="139"/>
      <c r="AP62" s="139"/>
      <c r="AQ62" s="139"/>
    </row>
    <row r="63" spans="1:43" s="140" customFormat="1" ht="31.15" customHeight="1">
      <c r="A63" s="198">
        <v>52</v>
      </c>
      <c r="B63" s="172" t="s">
        <v>91</v>
      </c>
      <c r="C63" s="250" t="s">
        <v>50</v>
      </c>
      <c r="D63" s="210" t="s">
        <v>46</v>
      </c>
      <c r="E63" s="210" t="s">
        <v>46</v>
      </c>
      <c r="F63" s="210" t="s">
        <v>46</v>
      </c>
      <c r="G63" s="200">
        <v>2</v>
      </c>
      <c r="H63" s="213"/>
      <c r="I63" s="206">
        <v>1</v>
      </c>
      <c r="J63" s="172">
        <v>2.81</v>
      </c>
      <c r="K63" s="171">
        <v>17697</v>
      </c>
      <c r="L63" s="202">
        <f t="shared" ref="L63" si="58">K63*J63*I63</f>
        <v>49728.57</v>
      </c>
      <c r="M63" s="202"/>
      <c r="N63" s="208">
        <f t="shared" ref="N63" si="59">L63+M63</f>
        <v>49728.57</v>
      </c>
      <c r="O63" s="208">
        <f t="shared" ref="O63" si="60">N63</f>
        <v>49728.57</v>
      </c>
      <c r="P63" s="209"/>
      <c r="Q63" s="172"/>
      <c r="R63" s="202"/>
      <c r="S63" s="203"/>
      <c r="T63" s="172"/>
      <c r="U63" s="202"/>
      <c r="V63" s="202"/>
      <c r="W63" s="208"/>
      <c r="X63" s="202"/>
      <c r="Y63" s="202"/>
      <c r="Z63" s="208"/>
      <c r="AA63" s="208"/>
      <c r="AB63" s="208"/>
      <c r="AC63" s="208"/>
      <c r="AD63" s="208"/>
      <c r="AE63" s="208"/>
      <c r="AF63" s="208"/>
      <c r="AG63" s="208"/>
      <c r="AH63" s="208"/>
      <c r="AI63" s="202"/>
      <c r="AJ63" s="202">
        <f t="shared" si="4"/>
        <v>4972.857</v>
      </c>
      <c r="AK63" s="202">
        <f t="shared" si="46"/>
        <v>54701.426999999996</v>
      </c>
      <c r="AL63" s="202">
        <f t="shared" ref="AL63" si="61">N63*10%</f>
        <v>4972.857</v>
      </c>
      <c r="AM63" s="139"/>
      <c r="AN63" s="139"/>
      <c r="AO63" s="139"/>
      <c r="AP63" s="139"/>
      <c r="AQ63" s="139"/>
    </row>
    <row r="64" spans="1:43" s="140" customFormat="1" ht="31.15" customHeight="1">
      <c r="A64" s="198">
        <v>53</v>
      </c>
      <c r="B64" s="172" t="s">
        <v>59</v>
      </c>
      <c r="C64" s="210" t="s">
        <v>46</v>
      </c>
      <c r="D64" s="210" t="s">
        <v>46</v>
      </c>
      <c r="E64" s="210" t="s">
        <v>46</v>
      </c>
      <c r="F64" s="210" t="s">
        <v>46</v>
      </c>
      <c r="G64" s="200">
        <v>1</v>
      </c>
      <c r="H64" s="213"/>
      <c r="I64" s="206">
        <v>1</v>
      </c>
      <c r="J64" s="172">
        <v>2.77</v>
      </c>
      <c r="K64" s="171">
        <v>17697</v>
      </c>
      <c r="L64" s="202">
        <f t="shared" ref="L64:L71" si="62">K64*J64*I64</f>
        <v>49020.69</v>
      </c>
      <c r="M64" s="202"/>
      <c r="N64" s="208">
        <f t="shared" ref="N64:N71" si="63">L64+M64</f>
        <v>49020.69</v>
      </c>
      <c r="O64" s="208">
        <f t="shared" ref="O64:O71" si="64">N64</f>
        <v>49020.69</v>
      </c>
      <c r="P64" s="209"/>
      <c r="Q64" s="172"/>
      <c r="R64" s="202"/>
      <c r="S64" s="203"/>
      <c r="T64" s="172"/>
      <c r="U64" s="202"/>
      <c r="V64" s="202"/>
      <c r="W64" s="208"/>
      <c r="X64" s="202"/>
      <c r="Y64" s="203">
        <v>1</v>
      </c>
      <c r="Z64" s="208">
        <v>50</v>
      </c>
      <c r="AA64" s="208">
        <v>12014</v>
      </c>
      <c r="AB64" s="209"/>
      <c r="AC64" s="251"/>
      <c r="AD64" s="208"/>
      <c r="AE64" s="208">
        <v>8174</v>
      </c>
      <c r="AF64" s="208">
        <v>5520</v>
      </c>
      <c r="AG64" s="208"/>
      <c r="AH64" s="208"/>
      <c r="AI64" s="202"/>
      <c r="AJ64" s="202">
        <f t="shared" si="4"/>
        <v>30610.069</v>
      </c>
      <c r="AK64" s="202">
        <f t="shared" si="46"/>
        <v>79630.759000000005</v>
      </c>
      <c r="AL64" s="202">
        <f t="shared" ref="AL64:AL73" si="65">N64*10%</f>
        <v>4902.0690000000004</v>
      </c>
      <c r="AM64" s="139"/>
      <c r="AN64" s="139"/>
      <c r="AO64" s="139"/>
      <c r="AP64" s="139"/>
      <c r="AQ64" s="139"/>
    </row>
    <row r="65" spans="1:43" s="140" customFormat="1" ht="31.15" customHeight="1">
      <c r="A65" s="198">
        <v>54</v>
      </c>
      <c r="B65" s="172" t="s">
        <v>59</v>
      </c>
      <c r="C65" s="210" t="s">
        <v>46</v>
      </c>
      <c r="D65" s="210" t="s">
        <v>46</v>
      </c>
      <c r="E65" s="210" t="s">
        <v>46</v>
      </c>
      <c r="F65" s="210" t="s">
        <v>46</v>
      </c>
      <c r="G65" s="200">
        <v>1</v>
      </c>
      <c r="H65" s="213"/>
      <c r="I65" s="206">
        <v>1</v>
      </c>
      <c r="J65" s="172">
        <v>2.77</v>
      </c>
      <c r="K65" s="171">
        <v>17697</v>
      </c>
      <c r="L65" s="202">
        <f t="shared" si="62"/>
        <v>49020.69</v>
      </c>
      <c r="M65" s="202"/>
      <c r="N65" s="208">
        <f t="shared" si="63"/>
        <v>49020.69</v>
      </c>
      <c r="O65" s="208">
        <f t="shared" si="64"/>
        <v>49020.69</v>
      </c>
      <c r="P65" s="209"/>
      <c r="Q65" s="172"/>
      <c r="R65" s="202"/>
      <c r="S65" s="203"/>
      <c r="T65" s="172"/>
      <c r="U65" s="202"/>
      <c r="V65" s="202"/>
      <c r="W65" s="208"/>
      <c r="X65" s="202"/>
      <c r="Y65" s="203">
        <v>1</v>
      </c>
      <c r="Z65" s="208">
        <v>50</v>
      </c>
      <c r="AA65" s="208">
        <v>12014</v>
      </c>
      <c r="AB65" s="209"/>
      <c r="AC65" s="251"/>
      <c r="AD65" s="208"/>
      <c r="AE65" s="208">
        <v>8174</v>
      </c>
      <c r="AF65" s="208">
        <v>5520</v>
      </c>
      <c r="AG65" s="208"/>
      <c r="AH65" s="208"/>
      <c r="AI65" s="202"/>
      <c r="AJ65" s="202">
        <f t="shared" si="4"/>
        <v>30610.069</v>
      </c>
      <c r="AK65" s="202">
        <f t="shared" si="46"/>
        <v>79630.759000000005</v>
      </c>
      <c r="AL65" s="202">
        <f t="shared" si="65"/>
        <v>4902.0690000000004</v>
      </c>
      <c r="AM65" s="139"/>
      <c r="AN65" s="139"/>
      <c r="AO65" s="139"/>
      <c r="AP65" s="139"/>
      <c r="AQ65" s="139"/>
    </row>
    <row r="66" spans="1:43" s="140" customFormat="1" ht="31.15" customHeight="1">
      <c r="A66" s="198">
        <v>55</v>
      </c>
      <c r="B66" s="172" t="s">
        <v>59</v>
      </c>
      <c r="C66" s="210" t="s">
        <v>46</v>
      </c>
      <c r="D66" s="210" t="s">
        <v>46</v>
      </c>
      <c r="E66" s="210" t="s">
        <v>46</v>
      </c>
      <c r="F66" s="210" t="s">
        <v>46</v>
      </c>
      <c r="G66" s="200">
        <v>1</v>
      </c>
      <c r="H66" s="213"/>
      <c r="I66" s="206">
        <v>1</v>
      </c>
      <c r="J66" s="172">
        <v>2.77</v>
      </c>
      <c r="K66" s="171">
        <v>17697</v>
      </c>
      <c r="L66" s="202">
        <f t="shared" si="62"/>
        <v>49020.69</v>
      </c>
      <c r="M66" s="202"/>
      <c r="N66" s="208">
        <f t="shared" si="63"/>
        <v>49020.69</v>
      </c>
      <c r="O66" s="208">
        <f t="shared" si="64"/>
        <v>49020.69</v>
      </c>
      <c r="P66" s="209"/>
      <c r="Q66" s="172"/>
      <c r="R66" s="202"/>
      <c r="S66" s="203"/>
      <c r="T66" s="172"/>
      <c r="U66" s="202"/>
      <c r="V66" s="202"/>
      <c r="W66" s="208"/>
      <c r="X66" s="202"/>
      <c r="Y66" s="203">
        <v>1</v>
      </c>
      <c r="Z66" s="208">
        <v>50</v>
      </c>
      <c r="AA66" s="208">
        <v>12014</v>
      </c>
      <c r="AB66" s="209"/>
      <c r="AC66" s="251"/>
      <c r="AD66" s="208"/>
      <c r="AE66" s="208">
        <v>8174</v>
      </c>
      <c r="AF66" s="208">
        <v>5520</v>
      </c>
      <c r="AG66" s="208"/>
      <c r="AH66" s="208"/>
      <c r="AI66" s="202"/>
      <c r="AJ66" s="202">
        <f t="shared" si="4"/>
        <v>30610.069</v>
      </c>
      <c r="AK66" s="202">
        <f t="shared" si="46"/>
        <v>79630.759000000005</v>
      </c>
      <c r="AL66" s="202">
        <f t="shared" si="65"/>
        <v>4902.0690000000004</v>
      </c>
      <c r="AM66" s="139"/>
      <c r="AN66" s="139"/>
      <c r="AO66" s="139"/>
      <c r="AP66" s="139"/>
      <c r="AQ66" s="139"/>
    </row>
    <row r="67" spans="1:43" s="140" customFormat="1" ht="31.15" customHeight="1">
      <c r="A67" s="198">
        <v>56</v>
      </c>
      <c r="B67" s="172" t="s">
        <v>59</v>
      </c>
      <c r="C67" s="210" t="s">
        <v>46</v>
      </c>
      <c r="D67" s="210" t="s">
        <v>46</v>
      </c>
      <c r="E67" s="210" t="s">
        <v>46</v>
      </c>
      <c r="F67" s="210" t="s">
        <v>46</v>
      </c>
      <c r="G67" s="200">
        <v>1</v>
      </c>
      <c r="H67" s="213"/>
      <c r="I67" s="206">
        <v>1</v>
      </c>
      <c r="J67" s="172">
        <v>2.77</v>
      </c>
      <c r="K67" s="171">
        <v>17697</v>
      </c>
      <c r="L67" s="202">
        <f t="shared" si="62"/>
        <v>49020.69</v>
      </c>
      <c r="M67" s="202"/>
      <c r="N67" s="208">
        <f t="shared" si="63"/>
        <v>49020.69</v>
      </c>
      <c r="O67" s="208">
        <f t="shared" si="64"/>
        <v>49020.69</v>
      </c>
      <c r="P67" s="209"/>
      <c r="Q67" s="172"/>
      <c r="R67" s="202"/>
      <c r="S67" s="203"/>
      <c r="T67" s="172"/>
      <c r="U67" s="202"/>
      <c r="V67" s="202"/>
      <c r="W67" s="208"/>
      <c r="X67" s="202"/>
      <c r="Y67" s="203">
        <v>1</v>
      </c>
      <c r="Z67" s="208">
        <v>50</v>
      </c>
      <c r="AA67" s="208">
        <v>12014</v>
      </c>
      <c r="AB67" s="209">
        <v>12</v>
      </c>
      <c r="AC67" s="251">
        <v>1.5</v>
      </c>
      <c r="AD67" s="208">
        <v>6146</v>
      </c>
      <c r="AE67" s="208">
        <v>8174</v>
      </c>
      <c r="AF67" s="208">
        <v>5520</v>
      </c>
      <c r="AG67" s="208"/>
      <c r="AH67" s="208"/>
      <c r="AI67" s="202"/>
      <c r="AJ67" s="202">
        <f t="shared" si="4"/>
        <v>36756.069000000003</v>
      </c>
      <c r="AK67" s="202">
        <f t="shared" si="46"/>
        <v>85776.759000000005</v>
      </c>
      <c r="AL67" s="202">
        <f t="shared" si="65"/>
        <v>4902.0690000000004</v>
      </c>
      <c r="AM67" s="139"/>
      <c r="AN67" s="139"/>
      <c r="AO67" s="139"/>
      <c r="AP67" s="139"/>
      <c r="AQ67" s="139"/>
    </row>
    <row r="68" spans="1:43" s="140" customFormat="1" ht="31.15" customHeight="1">
      <c r="A68" s="198">
        <v>57</v>
      </c>
      <c r="B68" s="172" t="s">
        <v>59</v>
      </c>
      <c r="C68" s="210" t="s">
        <v>46</v>
      </c>
      <c r="D68" s="210" t="s">
        <v>46</v>
      </c>
      <c r="E68" s="210" t="s">
        <v>46</v>
      </c>
      <c r="F68" s="210" t="s">
        <v>46</v>
      </c>
      <c r="G68" s="200">
        <v>1</v>
      </c>
      <c r="H68" s="213"/>
      <c r="I68" s="206">
        <v>1</v>
      </c>
      <c r="J68" s="172">
        <v>2.77</v>
      </c>
      <c r="K68" s="171">
        <v>17697</v>
      </c>
      <c r="L68" s="202">
        <f t="shared" si="62"/>
        <v>49020.69</v>
      </c>
      <c r="M68" s="202"/>
      <c r="N68" s="208">
        <f t="shared" si="63"/>
        <v>49020.69</v>
      </c>
      <c r="O68" s="208">
        <f t="shared" si="64"/>
        <v>49020.69</v>
      </c>
      <c r="P68" s="209"/>
      <c r="Q68" s="172"/>
      <c r="R68" s="202"/>
      <c r="S68" s="203"/>
      <c r="T68" s="172"/>
      <c r="U68" s="202"/>
      <c r="V68" s="202"/>
      <c r="W68" s="208"/>
      <c r="X68" s="202"/>
      <c r="Y68" s="203">
        <v>1</v>
      </c>
      <c r="Z68" s="208">
        <v>50</v>
      </c>
      <c r="AA68" s="208">
        <v>12014</v>
      </c>
      <c r="AB68" s="209">
        <v>12</v>
      </c>
      <c r="AC68" s="251">
        <v>1.5</v>
      </c>
      <c r="AD68" s="208">
        <v>6146</v>
      </c>
      <c r="AE68" s="208">
        <v>8174</v>
      </c>
      <c r="AF68" s="208">
        <v>5520</v>
      </c>
      <c r="AG68" s="208"/>
      <c r="AH68" s="208"/>
      <c r="AI68" s="202"/>
      <c r="AJ68" s="202">
        <f t="shared" si="4"/>
        <v>36756.069000000003</v>
      </c>
      <c r="AK68" s="202">
        <f t="shared" si="46"/>
        <v>85776.759000000005</v>
      </c>
      <c r="AL68" s="202">
        <f t="shared" si="65"/>
        <v>4902.0690000000004</v>
      </c>
      <c r="AM68" s="139"/>
      <c r="AN68" s="139"/>
      <c r="AO68" s="139"/>
      <c r="AP68" s="139"/>
      <c r="AQ68" s="139"/>
    </row>
    <row r="69" spans="1:43" s="140" customFormat="1" ht="31.15" customHeight="1">
      <c r="A69" s="198">
        <v>58</v>
      </c>
      <c r="B69" s="172" t="s">
        <v>59</v>
      </c>
      <c r="C69" s="210" t="s">
        <v>46</v>
      </c>
      <c r="D69" s="210" t="s">
        <v>46</v>
      </c>
      <c r="E69" s="210" t="s">
        <v>46</v>
      </c>
      <c r="F69" s="210" t="s">
        <v>46</v>
      </c>
      <c r="G69" s="200">
        <v>1</v>
      </c>
      <c r="H69" s="213"/>
      <c r="I69" s="206">
        <v>1</v>
      </c>
      <c r="J69" s="172">
        <v>2.77</v>
      </c>
      <c r="K69" s="171">
        <v>17697</v>
      </c>
      <c r="L69" s="202">
        <f t="shared" si="62"/>
        <v>49020.69</v>
      </c>
      <c r="M69" s="202"/>
      <c r="N69" s="208">
        <f t="shared" si="63"/>
        <v>49020.69</v>
      </c>
      <c r="O69" s="208">
        <f t="shared" si="64"/>
        <v>49020.69</v>
      </c>
      <c r="P69" s="209"/>
      <c r="Q69" s="172"/>
      <c r="R69" s="202"/>
      <c r="S69" s="203"/>
      <c r="T69" s="172"/>
      <c r="U69" s="202"/>
      <c r="V69" s="202"/>
      <c r="W69" s="208"/>
      <c r="X69" s="202"/>
      <c r="Y69" s="203">
        <v>1</v>
      </c>
      <c r="Z69" s="208">
        <v>50</v>
      </c>
      <c r="AA69" s="208">
        <v>12014</v>
      </c>
      <c r="AB69" s="209">
        <v>12</v>
      </c>
      <c r="AC69" s="251">
        <v>1.5</v>
      </c>
      <c r="AD69" s="208">
        <v>6146</v>
      </c>
      <c r="AE69" s="208">
        <v>8174</v>
      </c>
      <c r="AF69" s="208">
        <v>5520</v>
      </c>
      <c r="AG69" s="208"/>
      <c r="AH69" s="208"/>
      <c r="AI69" s="202"/>
      <c r="AJ69" s="202">
        <f t="shared" si="4"/>
        <v>36756.069000000003</v>
      </c>
      <c r="AK69" s="202">
        <f t="shared" si="46"/>
        <v>85776.759000000005</v>
      </c>
      <c r="AL69" s="202">
        <f t="shared" si="65"/>
        <v>4902.0690000000004</v>
      </c>
      <c r="AM69" s="139"/>
      <c r="AN69" s="139"/>
      <c r="AO69" s="139"/>
      <c r="AP69" s="139"/>
      <c r="AQ69" s="139"/>
    </row>
    <row r="70" spans="1:43" s="140" customFormat="1" ht="31.15" customHeight="1">
      <c r="A70" s="198">
        <v>59</v>
      </c>
      <c r="B70" s="171" t="s">
        <v>176</v>
      </c>
      <c r="C70" s="210" t="s">
        <v>46</v>
      </c>
      <c r="D70" s="210" t="s">
        <v>46</v>
      </c>
      <c r="E70" s="210" t="s">
        <v>46</v>
      </c>
      <c r="F70" s="210" t="s">
        <v>46</v>
      </c>
      <c r="G70" s="200">
        <v>3</v>
      </c>
      <c r="H70" s="213"/>
      <c r="I70" s="206">
        <v>1</v>
      </c>
      <c r="J70" s="172">
        <v>2.84</v>
      </c>
      <c r="K70" s="171">
        <v>17697</v>
      </c>
      <c r="L70" s="202">
        <f t="shared" si="62"/>
        <v>50259.479999999996</v>
      </c>
      <c r="M70" s="202"/>
      <c r="N70" s="208">
        <f t="shared" si="63"/>
        <v>50259.479999999996</v>
      </c>
      <c r="O70" s="208">
        <f t="shared" si="64"/>
        <v>50259.479999999996</v>
      </c>
      <c r="P70" s="209"/>
      <c r="Q70" s="172"/>
      <c r="R70" s="202"/>
      <c r="S70" s="203"/>
      <c r="T70" s="172"/>
      <c r="U70" s="202"/>
      <c r="V70" s="202"/>
      <c r="W70" s="208"/>
      <c r="X70" s="202"/>
      <c r="Y70" s="203">
        <v>1</v>
      </c>
      <c r="Z70" s="208">
        <v>50</v>
      </c>
      <c r="AA70" s="208">
        <v>10254</v>
      </c>
      <c r="AB70" s="208">
        <v>12</v>
      </c>
      <c r="AC70" s="251">
        <v>1.5</v>
      </c>
      <c r="AD70" s="208">
        <v>5881</v>
      </c>
      <c r="AE70" s="208">
        <v>4488</v>
      </c>
      <c r="AF70" s="208"/>
      <c r="AG70" s="208">
        <f>I70</f>
        <v>1</v>
      </c>
      <c r="AH70" s="208">
        <v>30</v>
      </c>
      <c r="AI70" s="202">
        <f>K70*AG70*AH70/100</f>
        <v>5309.1</v>
      </c>
      <c r="AJ70" s="202">
        <f t="shared" si="4"/>
        <v>30958.047999999999</v>
      </c>
      <c r="AK70" s="202">
        <f t="shared" si="46"/>
        <v>81217.527999999991</v>
      </c>
      <c r="AL70" s="202">
        <f t="shared" si="65"/>
        <v>5025.9480000000003</v>
      </c>
      <c r="AM70" s="139"/>
      <c r="AN70" s="139"/>
      <c r="AO70" s="139"/>
      <c r="AP70" s="139"/>
      <c r="AQ70" s="139"/>
    </row>
    <row r="71" spans="1:43" s="140" customFormat="1" ht="31.15" customHeight="1">
      <c r="A71" s="198">
        <v>60</v>
      </c>
      <c r="B71" s="171" t="s">
        <v>58</v>
      </c>
      <c r="C71" s="210" t="s">
        <v>46</v>
      </c>
      <c r="D71" s="210" t="s">
        <v>46</v>
      </c>
      <c r="E71" s="210" t="s">
        <v>46</v>
      </c>
      <c r="F71" s="210" t="s">
        <v>46</v>
      </c>
      <c r="G71" s="200">
        <v>3</v>
      </c>
      <c r="H71" s="213"/>
      <c r="I71" s="206">
        <v>3</v>
      </c>
      <c r="J71" s="172">
        <v>2.84</v>
      </c>
      <c r="K71" s="171">
        <v>17697</v>
      </c>
      <c r="L71" s="202">
        <f t="shared" si="62"/>
        <v>150778.44</v>
      </c>
      <c r="M71" s="202"/>
      <c r="N71" s="208">
        <f t="shared" si="63"/>
        <v>150778.44</v>
      </c>
      <c r="O71" s="208">
        <f t="shared" si="64"/>
        <v>150778.44</v>
      </c>
      <c r="P71" s="209"/>
      <c r="Q71" s="172"/>
      <c r="R71" s="202"/>
      <c r="S71" s="203"/>
      <c r="T71" s="172"/>
      <c r="U71" s="202"/>
      <c r="V71" s="202"/>
      <c r="W71" s="208"/>
      <c r="X71" s="202"/>
      <c r="Y71" s="203">
        <v>3</v>
      </c>
      <c r="Z71" s="208">
        <v>50</v>
      </c>
      <c r="AA71" s="208">
        <v>30763</v>
      </c>
      <c r="AB71" s="208">
        <v>36</v>
      </c>
      <c r="AC71" s="251">
        <v>1.5</v>
      </c>
      <c r="AD71" s="208">
        <v>41174</v>
      </c>
      <c r="AE71" s="208">
        <v>13465</v>
      </c>
      <c r="AF71" s="208"/>
      <c r="AG71" s="208">
        <f>I71</f>
        <v>3</v>
      </c>
      <c r="AH71" s="208">
        <v>30</v>
      </c>
      <c r="AI71" s="202">
        <f>K71*AG71*AH71/100</f>
        <v>15927.3</v>
      </c>
      <c r="AJ71" s="202">
        <f t="shared" si="4"/>
        <v>116407.144</v>
      </c>
      <c r="AK71" s="202">
        <f t="shared" si="46"/>
        <v>267185.58400000003</v>
      </c>
      <c r="AL71" s="202">
        <f t="shared" si="65"/>
        <v>15077.844000000001</v>
      </c>
      <c r="AM71" s="139"/>
      <c r="AN71" s="139"/>
      <c r="AO71" s="139"/>
      <c r="AP71" s="139"/>
      <c r="AQ71" s="139"/>
    </row>
    <row r="72" spans="1:43" s="140" customFormat="1" ht="31.15" customHeight="1">
      <c r="A72" s="198">
        <v>61</v>
      </c>
      <c r="B72" s="171" t="s">
        <v>60</v>
      </c>
      <c r="C72" s="210" t="s">
        <v>46</v>
      </c>
      <c r="D72" s="210" t="s">
        <v>46</v>
      </c>
      <c r="E72" s="210" t="s">
        <v>46</v>
      </c>
      <c r="F72" s="210" t="s">
        <v>46</v>
      </c>
      <c r="G72" s="200">
        <v>5</v>
      </c>
      <c r="H72" s="213"/>
      <c r="I72" s="206">
        <v>1.5</v>
      </c>
      <c r="J72" s="207">
        <v>2.92</v>
      </c>
      <c r="K72" s="171">
        <v>17697</v>
      </c>
      <c r="L72" s="202">
        <f t="shared" ref="L72" si="66">K72*J72*I72</f>
        <v>77512.86</v>
      </c>
      <c r="M72" s="202"/>
      <c r="N72" s="208">
        <f t="shared" ref="N72" si="67">L72+M72</f>
        <v>77512.86</v>
      </c>
      <c r="O72" s="208">
        <f t="shared" ref="O72" si="68">N72</f>
        <v>77512.86</v>
      </c>
      <c r="P72" s="209"/>
      <c r="Q72" s="172"/>
      <c r="R72" s="202"/>
      <c r="S72" s="203"/>
      <c r="T72" s="172"/>
      <c r="U72" s="202"/>
      <c r="V72" s="203"/>
      <c r="W72" s="208"/>
      <c r="X72" s="202"/>
      <c r="Y72" s="202"/>
      <c r="Z72" s="208"/>
      <c r="AA72" s="208"/>
      <c r="AB72" s="208"/>
      <c r="AC72" s="208"/>
      <c r="AD72" s="208"/>
      <c r="AE72" s="208"/>
      <c r="AF72" s="208"/>
      <c r="AG72" s="208"/>
      <c r="AH72" s="208"/>
      <c r="AI72" s="202"/>
      <c r="AJ72" s="202">
        <f t="shared" si="4"/>
        <v>7751.2860000000001</v>
      </c>
      <c r="AK72" s="202">
        <f t="shared" si="46"/>
        <v>85264.146000000008</v>
      </c>
      <c r="AL72" s="202">
        <f t="shared" si="65"/>
        <v>7751.2860000000001</v>
      </c>
      <c r="AM72" s="139"/>
      <c r="AN72" s="139"/>
      <c r="AO72" s="139"/>
      <c r="AP72" s="139"/>
      <c r="AQ72" s="139"/>
    </row>
    <row r="73" spans="1:43" s="140" customFormat="1" ht="31.15" customHeight="1">
      <c r="A73" s="198">
        <v>62</v>
      </c>
      <c r="B73" s="171" t="s">
        <v>60</v>
      </c>
      <c r="C73" s="210" t="s">
        <v>46</v>
      </c>
      <c r="D73" s="210" t="s">
        <v>46</v>
      </c>
      <c r="E73" s="210" t="s">
        <v>46</v>
      </c>
      <c r="F73" s="210" t="s">
        <v>46</v>
      </c>
      <c r="G73" s="200">
        <v>5</v>
      </c>
      <c r="H73" s="213"/>
      <c r="I73" s="206">
        <v>1.5</v>
      </c>
      <c r="J73" s="207">
        <v>2.92</v>
      </c>
      <c r="K73" s="171">
        <v>17697</v>
      </c>
      <c r="L73" s="202">
        <f>K73*J73*I73</f>
        <v>77512.86</v>
      </c>
      <c r="M73" s="202"/>
      <c r="N73" s="208">
        <f>L73+M73</f>
        <v>77512.86</v>
      </c>
      <c r="O73" s="208">
        <f>N73</f>
        <v>77512.86</v>
      </c>
      <c r="P73" s="209"/>
      <c r="Q73" s="172"/>
      <c r="R73" s="202"/>
      <c r="S73" s="203"/>
      <c r="T73" s="172"/>
      <c r="U73" s="202"/>
      <c r="V73" s="203">
        <v>1.5</v>
      </c>
      <c r="W73" s="208">
        <v>35</v>
      </c>
      <c r="X73" s="202">
        <f>K73*V73*W73/100</f>
        <v>9290.9249999999993</v>
      </c>
      <c r="Y73" s="202"/>
      <c r="Z73" s="208"/>
      <c r="AA73" s="208"/>
      <c r="AB73" s="208"/>
      <c r="AC73" s="208"/>
      <c r="AD73" s="208"/>
      <c r="AE73" s="208"/>
      <c r="AF73" s="208"/>
      <c r="AG73" s="208"/>
      <c r="AH73" s="208"/>
      <c r="AI73" s="202"/>
      <c r="AJ73" s="202">
        <f t="shared" si="4"/>
        <v>17042.210999999999</v>
      </c>
      <c r="AK73" s="202">
        <f t="shared" si="46"/>
        <v>94555.070999999996</v>
      </c>
      <c r="AL73" s="202">
        <f t="shared" si="65"/>
        <v>7751.2860000000001</v>
      </c>
      <c r="AM73" s="139"/>
      <c r="AN73" s="139"/>
      <c r="AO73" s="139"/>
      <c r="AP73" s="139"/>
      <c r="AQ73" s="139"/>
    </row>
    <row r="74" spans="1:43" s="140" customFormat="1" ht="31.15" customHeight="1">
      <c r="A74" s="198">
        <v>63</v>
      </c>
      <c r="B74" s="172" t="s">
        <v>64</v>
      </c>
      <c r="C74" s="172" t="s">
        <v>50</v>
      </c>
      <c r="D74" s="210" t="s">
        <v>46</v>
      </c>
      <c r="E74" s="210" t="s">
        <v>46</v>
      </c>
      <c r="F74" s="210" t="s">
        <v>46</v>
      </c>
      <c r="G74" s="200">
        <v>1</v>
      </c>
      <c r="H74" s="213"/>
      <c r="I74" s="206">
        <v>1</v>
      </c>
      <c r="J74" s="172">
        <v>2.77</v>
      </c>
      <c r="K74" s="171">
        <v>17697</v>
      </c>
      <c r="L74" s="202">
        <f t="shared" si="0"/>
        <v>49020.69</v>
      </c>
      <c r="M74" s="202"/>
      <c r="N74" s="208">
        <f t="shared" si="1"/>
        <v>49020.69</v>
      </c>
      <c r="O74" s="208">
        <f t="shared" si="2"/>
        <v>49020.69</v>
      </c>
      <c r="P74" s="209"/>
      <c r="Q74" s="172"/>
      <c r="R74" s="202"/>
      <c r="S74" s="203"/>
      <c r="T74" s="172"/>
      <c r="U74" s="202"/>
      <c r="V74" s="202"/>
      <c r="W74" s="208"/>
      <c r="X74" s="202"/>
      <c r="Y74" s="202"/>
      <c r="Z74" s="208"/>
      <c r="AA74" s="208"/>
      <c r="AB74" s="208"/>
      <c r="AC74" s="208"/>
      <c r="AD74" s="208"/>
      <c r="AE74" s="208"/>
      <c r="AF74" s="208"/>
      <c r="AG74" s="208"/>
      <c r="AH74" s="208"/>
      <c r="AI74" s="202"/>
      <c r="AJ74" s="202">
        <f t="shared" si="4"/>
        <v>4902.0690000000004</v>
      </c>
      <c r="AK74" s="202">
        <f t="shared" si="46"/>
        <v>53922.759000000005</v>
      </c>
      <c r="AL74" s="202">
        <f t="shared" si="3"/>
        <v>4902.0690000000004</v>
      </c>
      <c r="AM74" s="139"/>
      <c r="AN74" s="139"/>
      <c r="AO74" s="139"/>
      <c r="AP74" s="139"/>
      <c r="AQ74" s="139"/>
    </row>
    <row r="75" spans="1:43" s="140" customFormat="1" ht="31.15" customHeight="1">
      <c r="A75" s="198">
        <v>64</v>
      </c>
      <c r="B75" s="171" t="s">
        <v>75</v>
      </c>
      <c r="C75" s="210" t="s">
        <v>46</v>
      </c>
      <c r="D75" s="210" t="s">
        <v>46</v>
      </c>
      <c r="E75" s="210" t="s">
        <v>46</v>
      </c>
      <c r="F75" s="210" t="s">
        <v>46</v>
      </c>
      <c r="G75" s="200">
        <v>4</v>
      </c>
      <c r="H75" s="213"/>
      <c r="I75" s="206">
        <v>0.5</v>
      </c>
      <c r="J75" s="207">
        <v>2.89</v>
      </c>
      <c r="K75" s="171">
        <v>17697</v>
      </c>
      <c r="L75" s="202">
        <f>K75*J75*I75</f>
        <v>25572.165000000001</v>
      </c>
      <c r="M75" s="202"/>
      <c r="N75" s="208">
        <f>L75+M75</f>
        <v>25572.165000000001</v>
      </c>
      <c r="O75" s="208">
        <f>N75</f>
        <v>25572.165000000001</v>
      </c>
      <c r="P75" s="209"/>
      <c r="Q75" s="172"/>
      <c r="R75" s="202"/>
      <c r="S75" s="203"/>
      <c r="T75" s="172"/>
      <c r="U75" s="202"/>
      <c r="V75" s="202"/>
      <c r="W75" s="208"/>
      <c r="X75" s="202"/>
      <c r="Y75" s="202"/>
      <c r="Z75" s="208"/>
      <c r="AA75" s="208"/>
      <c r="AB75" s="208"/>
      <c r="AC75" s="208"/>
      <c r="AD75" s="208"/>
      <c r="AE75" s="208"/>
      <c r="AF75" s="208"/>
      <c r="AG75" s="208"/>
      <c r="AH75" s="208"/>
      <c r="AI75" s="202"/>
      <c r="AJ75" s="202">
        <f t="shared" si="4"/>
        <v>2557.2165000000005</v>
      </c>
      <c r="AK75" s="202">
        <f t="shared" ref="AK75:AK94" si="69">AJ75+O75</f>
        <v>28129.381500000003</v>
      </c>
      <c r="AL75" s="202">
        <f>N75*10%</f>
        <v>2557.2165000000005</v>
      </c>
      <c r="AM75" s="139"/>
      <c r="AN75" s="139"/>
      <c r="AO75" s="139"/>
      <c r="AP75" s="139"/>
      <c r="AQ75" s="139"/>
    </row>
    <row r="76" spans="1:43" s="140" customFormat="1" ht="31.15" customHeight="1">
      <c r="A76" s="198">
        <v>65</v>
      </c>
      <c r="B76" s="171" t="s">
        <v>75</v>
      </c>
      <c r="C76" s="210" t="s">
        <v>46</v>
      </c>
      <c r="D76" s="210" t="s">
        <v>46</v>
      </c>
      <c r="E76" s="210" t="s">
        <v>46</v>
      </c>
      <c r="F76" s="210" t="s">
        <v>46</v>
      </c>
      <c r="G76" s="200">
        <v>4</v>
      </c>
      <c r="H76" s="213"/>
      <c r="I76" s="206">
        <v>0.5</v>
      </c>
      <c r="J76" s="207">
        <v>2.89</v>
      </c>
      <c r="K76" s="171">
        <v>17697</v>
      </c>
      <c r="L76" s="202">
        <f t="shared" ref="L76" si="70">K76*J76*I76</f>
        <v>25572.165000000001</v>
      </c>
      <c r="M76" s="202"/>
      <c r="N76" s="208">
        <f>L76+M76</f>
        <v>25572.165000000001</v>
      </c>
      <c r="O76" s="208">
        <f>N76</f>
        <v>25572.165000000001</v>
      </c>
      <c r="P76" s="209"/>
      <c r="Q76" s="172"/>
      <c r="R76" s="202"/>
      <c r="S76" s="203"/>
      <c r="T76" s="172"/>
      <c r="U76" s="202"/>
      <c r="V76" s="202"/>
      <c r="W76" s="208"/>
      <c r="X76" s="202"/>
      <c r="Y76" s="202"/>
      <c r="Z76" s="208"/>
      <c r="AA76" s="208"/>
      <c r="AB76" s="208"/>
      <c r="AC76" s="208"/>
      <c r="AD76" s="208"/>
      <c r="AE76" s="208"/>
      <c r="AF76" s="208"/>
      <c r="AG76" s="208"/>
      <c r="AH76" s="208"/>
      <c r="AI76" s="202"/>
      <c r="AJ76" s="202">
        <f t="shared" si="4"/>
        <v>2557.2165000000005</v>
      </c>
      <c r="AK76" s="202">
        <f t="shared" si="69"/>
        <v>28129.381500000003</v>
      </c>
      <c r="AL76" s="202">
        <f>N76*10%</f>
        <v>2557.2165000000005</v>
      </c>
      <c r="AM76" s="139"/>
      <c r="AN76" s="139"/>
      <c r="AO76" s="139"/>
      <c r="AP76" s="139"/>
      <c r="AQ76" s="139"/>
    </row>
    <row r="77" spans="1:43" s="140" customFormat="1" ht="31.15" customHeight="1">
      <c r="A77" s="198">
        <v>66</v>
      </c>
      <c r="B77" s="171" t="s">
        <v>80</v>
      </c>
      <c r="C77" s="172" t="s">
        <v>50</v>
      </c>
      <c r="D77" s="210" t="s">
        <v>46</v>
      </c>
      <c r="E77" s="210" t="s">
        <v>46</v>
      </c>
      <c r="F77" s="210" t="s">
        <v>46</v>
      </c>
      <c r="G77" s="200">
        <v>2</v>
      </c>
      <c r="H77" s="201"/>
      <c r="I77" s="206">
        <v>1</v>
      </c>
      <c r="J77" s="172">
        <v>2.81</v>
      </c>
      <c r="K77" s="171">
        <v>17697</v>
      </c>
      <c r="L77" s="202">
        <f>K77*J77*I77</f>
        <v>49728.57</v>
      </c>
      <c r="M77" s="202"/>
      <c r="N77" s="208">
        <f>L77+M77</f>
        <v>49728.57</v>
      </c>
      <c r="O77" s="208">
        <f>N77</f>
        <v>49728.57</v>
      </c>
      <c r="P77" s="209"/>
      <c r="Q77" s="172"/>
      <c r="R77" s="202"/>
      <c r="S77" s="203"/>
      <c r="T77" s="172"/>
      <c r="U77" s="202"/>
      <c r="V77" s="202"/>
      <c r="W77" s="208"/>
      <c r="X77" s="202"/>
      <c r="Y77" s="202"/>
      <c r="Z77" s="208"/>
      <c r="AA77" s="208"/>
      <c r="AB77" s="208"/>
      <c r="AC77" s="208"/>
      <c r="AD77" s="208"/>
      <c r="AE77" s="208"/>
      <c r="AF77" s="208"/>
      <c r="AG77" s="208"/>
      <c r="AH77" s="208"/>
      <c r="AI77" s="202"/>
      <c r="AJ77" s="202">
        <f t="shared" ref="AJ77:AJ97" si="71">AI77+AA77+X77+U77+R77+AD77+AL77+AE77+AF77</f>
        <v>4972.857</v>
      </c>
      <c r="AK77" s="202">
        <f t="shared" si="69"/>
        <v>54701.426999999996</v>
      </c>
      <c r="AL77" s="202">
        <f>N77*10%</f>
        <v>4972.857</v>
      </c>
      <c r="AM77" s="139"/>
      <c r="AN77" s="139"/>
      <c r="AO77" s="139"/>
      <c r="AP77" s="139"/>
      <c r="AQ77" s="139"/>
    </row>
    <row r="78" spans="1:43" s="140" customFormat="1" ht="31.15" customHeight="1">
      <c r="A78" s="198">
        <v>67</v>
      </c>
      <c r="B78" s="171" t="s">
        <v>76</v>
      </c>
      <c r="C78" s="210" t="s">
        <v>46</v>
      </c>
      <c r="D78" s="210" t="s">
        <v>46</v>
      </c>
      <c r="E78" s="210" t="s">
        <v>46</v>
      </c>
      <c r="F78" s="210" t="s">
        <v>46</v>
      </c>
      <c r="G78" s="200">
        <v>2</v>
      </c>
      <c r="H78" s="213"/>
      <c r="I78" s="206">
        <v>1</v>
      </c>
      <c r="J78" s="172">
        <v>2.81</v>
      </c>
      <c r="K78" s="171">
        <v>17697</v>
      </c>
      <c r="L78" s="202">
        <f>K78*J78*I78</f>
        <v>49728.57</v>
      </c>
      <c r="M78" s="202"/>
      <c r="N78" s="208">
        <f>L78+M78</f>
        <v>49728.57</v>
      </c>
      <c r="O78" s="208">
        <f>N78</f>
        <v>49728.57</v>
      </c>
      <c r="P78" s="209"/>
      <c r="Q78" s="172"/>
      <c r="R78" s="202"/>
      <c r="S78" s="203"/>
      <c r="T78" s="172"/>
      <c r="U78" s="202"/>
      <c r="V78" s="202"/>
      <c r="W78" s="208"/>
      <c r="X78" s="202"/>
      <c r="Y78" s="202"/>
      <c r="Z78" s="208"/>
      <c r="AA78" s="208"/>
      <c r="AB78" s="208"/>
      <c r="AC78" s="208"/>
      <c r="AD78" s="208"/>
      <c r="AE78" s="208"/>
      <c r="AF78" s="208">
        <v>4800</v>
      </c>
      <c r="AG78" s="208">
        <f>I78</f>
        <v>1</v>
      </c>
      <c r="AH78" s="208">
        <v>30</v>
      </c>
      <c r="AI78" s="202">
        <f>K78*AG78*AH78/100</f>
        <v>5309.1</v>
      </c>
      <c r="AJ78" s="202">
        <f t="shared" si="71"/>
        <v>15081.957</v>
      </c>
      <c r="AK78" s="202">
        <f t="shared" si="69"/>
        <v>64810.527000000002</v>
      </c>
      <c r="AL78" s="202">
        <f>N78*10%</f>
        <v>4972.857</v>
      </c>
      <c r="AM78" s="139"/>
      <c r="AN78" s="139"/>
      <c r="AO78" s="139"/>
      <c r="AP78" s="139"/>
      <c r="AQ78" s="139"/>
    </row>
    <row r="79" spans="1:43" s="140" customFormat="1" ht="31.15" customHeight="1">
      <c r="A79" s="198">
        <v>68</v>
      </c>
      <c r="B79" s="171" t="s">
        <v>92</v>
      </c>
      <c r="C79" s="250" t="s">
        <v>47</v>
      </c>
      <c r="D79" s="210" t="s">
        <v>46</v>
      </c>
      <c r="E79" s="210" t="s">
        <v>46</v>
      </c>
      <c r="F79" s="210" t="s">
        <v>46</v>
      </c>
      <c r="G79" s="200">
        <v>3</v>
      </c>
      <c r="H79" s="213"/>
      <c r="I79" s="206">
        <v>1</v>
      </c>
      <c r="J79" s="172">
        <v>2.84</v>
      </c>
      <c r="K79" s="171">
        <v>17697</v>
      </c>
      <c r="L79" s="202">
        <f>K79*J79*I79</f>
        <v>50259.479999999996</v>
      </c>
      <c r="M79" s="202"/>
      <c r="N79" s="208">
        <f>L79+M79</f>
        <v>50259.479999999996</v>
      </c>
      <c r="O79" s="208">
        <f>N79</f>
        <v>50259.479999999996</v>
      </c>
      <c r="P79" s="209"/>
      <c r="Q79" s="172"/>
      <c r="R79" s="202"/>
      <c r="S79" s="203"/>
      <c r="T79" s="172"/>
      <c r="U79" s="202"/>
      <c r="V79" s="202"/>
      <c r="W79" s="208"/>
      <c r="X79" s="202"/>
      <c r="Y79" s="202"/>
      <c r="Z79" s="208"/>
      <c r="AA79" s="208"/>
      <c r="AB79" s="208"/>
      <c r="AC79" s="208"/>
      <c r="AD79" s="208"/>
      <c r="AE79" s="208"/>
      <c r="AF79" s="208"/>
      <c r="AG79" s="208"/>
      <c r="AH79" s="208"/>
      <c r="AI79" s="202"/>
      <c r="AJ79" s="202">
        <f t="shared" si="71"/>
        <v>5025.9480000000003</v>
      </c>
      <c r="AK79" s="202">
        <f t="shared" si="69"/>
        <v>55285.428</v>
      </c>
      <c r="AL79" s="202">
        <f>N79*10%</f>
        <v>5025.9480000000003</v>
      </c>
      <c r="AM79" s="139"/>
      <c r="AN79" s="139"/>
      <c r="AO79" s="139"/>
      <c r="AP79" s="139"/>
      <c r="AQ79" s="139"/>
    </row>
    <row r="80" spans="1:43" s="140" customFormat="1" ht="31.15" customHeight="1">
      <c r="A80" s="198">
        <v>69</v>
      </c>
      <c r="B80" s="172" t="s">
        <v>82</v>
      </c>
      <c r="C80" s="172" t="s">
        <v>47</v>
      </c>
      <c r="D80" s="210" t="s">
        <v>46</v>
      </c>
      <c r="E80" s="210" t="s">
        <v>46</v>
      </c>
      <c r="F80" s="210" t="s">
        <v>46</v>
      </c>
      <c r="G80" s="200">
        <v>2</v>
      </c>
      <c r="H80" s="213"/>
      <c r="I80" s="206">
        <v>0.5</v>
      </c>
      <c r="J80" s="172">
        <v>2.81</v>
      </c>
      <c r="K80" s="171">
        <v>17697</v>
      </c>
      <c r="L80" s="202">
        <f t="shared" si="0"/>
        <v>24864.285</v>
      </c>
      <c r="M80" s="202"/>
      <c r="N80" s="208">
        <f t="shared" si="1"/>
        <v>24864.285</v>
      </c>
      <c r="O80" s="208">
        <f t="shared" si="2"/>
        <v>24864.285</v>
      </c>
      <c r="P80" s="209"/>
      <c r="Q80" s="172"/>
      <c r="R80" s="202"/>
      <c r="S80" s="203"/>
      <c r="T80" s="172"/>
      <c r="U80" s="202"/>
      <c r="V80" s="202"/>
      <c r="W80" s="208"/>
      <c r="X80" s="202"/>
      <c r="Y80" s="202"/>
      <c r="Z80" s="208"/>
      <c r="AA80" s="208"/>
      <c r="AB80" s="208"/>
      <c r="AC80" s="208"/>
      <c r="AD80" s="208"/>
      <c r="AE80" s="208"/>
      <c r="AF80" s="208"/>
      <c r="AG80" s="208"/>
      <c r="AH80" s="208"/>
      <c r="AI80" s="202"/>
      <c r="AJ80" s="202">
        <f t="shared" si="71"/>
        <v>2486.4285</v>
      </c>
      <c r="AK80" s="202">
        <f t="shared" si="69"/>
        <v>27350.713499999998</v>
      </c>
      <c r="AL80" s="202">
        <f t="shared" si="3"/>
        <v>2486.4285</v>
      </c>
      <c r="AM80" s="139"/>
      <c r="AN80" s="139"/>
      <c r="AO80" s="139"/>
      <c r="AP80" s="139"/>
      <c r="AQ80" s="139"/>
    </row>
    <row r="81" spans="1:43" s="140" customFormat="1" ht="31.15" customHeight="1">
      <c r="A81" s="198">
        <v>70</v>
      </c>
      <c r="B81" s="172" t="s">
        <v>82</v>
      </c>
      <c r="C81" s="172" t="s">
        <v>47</v>
      </c>
      <c r="D81" s="210" t="s">
        <v>46</v>
      </c>
      <c r="E81" s="210" t="s">
        <v>46</v>
      </c>
      <c r="F81" s="210" t="s">
        <v>46</v>
      </c>
      <c r="G81" s="200">
        <v>2</v>
      </c>
      <c r="H81" s="213"/>
      <c r="I81" s="206">
        <v>0.5</v>
      </c>
      <c r="J81" s="172">
        <v>2.81</v>
      </c>
      <c r="K81" s="171">
        <v>17697</v>
      </c>
      <c r="L81" s="202">
        <f t="shared" ref="L81" si="72">K81*J81*I81</f>
        <v>24864.285</v>
      </c>
      <c r="M81" s="202"/>
      <c r="N81" s="208">
        <f t="shared" ref="N81" si="73">L81+M81</f>
        <v>24864.285</v>
      </c>
      <c r="O81" s="208">
        <f t="shared" ref="O81" si="74">N81</f>
        <v>24864.285</v>
      </c>
      <c r="P81" s="209"/>
      <c r="Q81" s="172"/>
      <c r="R81" s="202"/>
      <c r="S81" s="203"/>
      <c r="T81" s="172"/>
      <c r="U81" s="202"/>
      <c r="V81" s="202"/>
      <c r="W81" s="208"/>
      <c r="X81" s="202"/>
      <c r="Y81" s="202"/>
      <c r="Z81" s="208"/>
      <c r="AA81" s="208"/>
      <c r="AB81" s="208"/>
      <c r="AC81" s="208"/>
      <c r="AD81" s="208"/>
      <c r="AE81" s="208"/>
      <c r="AF81" s="208"/>
      <c r="AG81" s="208"/>
      <c r="AH81" s="208"/>
      <c r="AI81" s="202"/>
      <c r="AJ81" s="202">
        <f t="shared" si="71"/>
        <v>2486.4285</v>
      </c>
      <c r="AK81" s="202">
        <f t="shared" si="69"/>
        <v>27350.713499999998</v>
      </c>
      <c r="AL81" s="202">
        <f t="shared" ref="AL81" si="75">N81*10%</f>
        <v>2486.4285</v>
      </c>
      <c r="AM81" s="139"/>
      <c r="AN81" s="139"/>
      <c r="AO81" s="139"/>
      <c r="AP81" s="139"/>
      <c r="AQ81" s="139"/>
    </row>
    <row r="82" spans="1:43" s="58" customFormat="1" ht="31.15" customHeight="1">
      <c r="A82" s="198">
        <v>71</v>
      </c>
      <c r="B82" s="171" t="s">
        <v>81</v>
      </c>
      <c r="C82" s="172" t="s">
        <v>50</v>
      </c>
      <c r="D82" s="210" t="s">
        <v>46</v>
      </c>
      <c r="E82" s="210" t="s">
        <v>46</v>
      </c>
      <c r="F82" s="210" t="s">
        <v>46</v>
      </c>
      <c r="G82" s="200">
        <v>2</v>
      </c>
      <c r="H82" s="213"/>
      <c r="I82" s="206">
        <v>1</v>
      </c>
      <c r="J82" s="172">
        <v>2.81</v>
      </c>
      <c r="K82" s="171">
        <v>17697</v>
      </c>
      <c r="L82" s="202">
        <f t="shared" ref="L82:L94" si="76">K82*J82*I82</f>
        <v>49728.57</v>
      </c>
      <c r="M82" s="202"/>
      <c r="N82" s="208">
        <f t="shared" ref="N82" si="77">L82+M82</f>
        <v>49728.57</v>
      </c>
      <c r="O82" s="208">
        <f t="shared" ref="O82" si="78">N82</f>
        <v>49728.57</v>
      </c>
      <c r="P82" s="209"/>
      <c r="Q82" s="172"/>
      <c r="R82" s="202"/>
      <c r="S82" s="203"/>
      <c r="T82" s="172"/>
      <c r="U82" s="202"/>
      <c r="V82" s="202"/>
      <c r="W82" s="208"/>
      <c r="X82" s="202"/>
      <c r="Y82" s="202"/>
      <c r="Z82" s="208"/>
      <c r="AA82" s="208"/>
      <c r="AB82" s="208"/>
      <c r="AC82" s="208"/>
      <c r="AD82" s="208"/>
      <c r="AE82" s="208"/>
      <c r="AF82" s="208"/>
      <c r="AG82" s="208"/>
      <c r="AH82" s="208"/>
      <c r="AI82" s="202"/>
      <c r="AJ82" s="202">
        <f t="shared" si="71"/>
        <v>4972.857</v>
      </c>
      <c r="AK82" s="202">
        <f t="shared" si="69"/>
        <v>54701.426999999996</v>
      </c>
      <c r="AL82" s="202">
        <f t="shared" si="3"/>
        <v>4972.857</v>
      </c>
      <c r="AM82" s="127"/>
      <c r="AN82" s="127"/>
      <c r="AO82" s="127"/>
      <c r="AP82" s="127"/>
      <c r="AQ82" s="127"/>
    </row>
    <row r="83" spans="1:43" s="58" customFormat="1" ht="31.15" customHeight="1">
      <c r="A83" s="198">
        <v>72</v>
      </c>
      <c r="B83" s="171" t="s">
        <v>277</v>
      </c>
      <c r="C83" s="172" t="s">
        <v>50</v>
      </c>
      <c r="D83" s="210" t="s">
        <v>46</v>
      </c>
      <c r="E83" s="210" t="s">
        <v>46</v>
      </c>
      <c r="F83" s="210" t="s">
        <v>46</v>
      </c>
      <c r="G83" s="200">
        <v>4</v>
      </c>
      <c r="H83" s="201"/>
      <c r="I83" s="206">
        <v>1.5</v>
      </c>
      <c r="J83" s="172">
        <v>2.89</v>
      </c>
      <c r="K83" s="171">
        <v>17697</v>
      </c>
      <c r="L83" s="202">
        <f t="shared" si="76"/>
        <v>76716.494999999995</v>
      </c>
      <c r="M83" s="202"/>
      <c r="N83" s="208">
        <f>L83+M83</f>
        <v>76716.494999999995</v>
      </c>
      <c r="O83" s="208">
        <f>N83</f>
        <v>76716.494999999995</v>
      </c>
      <c r="P83" s="209"/>
      <c r="Q83" s="172"/>
      <c r="R83" s="202"/>
      <c r="S83" s="203"/>
      <c r="T83" s="172"/>
      <c r="U83" s="202"/>
      <c r="V83" s="202"/>
      <c r="W83" s="208"/>
      <c r="X83" s="202"/>
      <c r="Y83" s="202"/>
      <c r="Z83" s="208"/>
      <c r="AA83" s="208"/>
      <c r="AB83" s="208"/>
      <c r="AC83" s="208"/>
      <c r="AD83" s="208"/>
      <c r="AE83" s="208"/>
      <c r="AF83" s="208"/>
      <c r="AG83" s="208"/>
      <c r="AH83" s="208"/>
      <c r="AI83" s="202"/>
      <c r="AJ83" s="202">
        <f t="shared" si="71"/>
        <v>7671.6494999999995</v>
      </c>
      <c r="AK83" s="202">
        <f t="shared" si="69"/>
        <v>84388.144499999995</v>
      </c>
      <c r="AL83" s="202">
        <f t="shared" si="3"/>
        <v>7671.6494999999995</v>
      </c>
      <c r="AM83" s="127"/>
      <c r="AN83" s="127"/>
      <c r="AO83" s="127"/>
      <c r="AP83" s="127"/>
      <c r="AQ83" s="127"/>
    </row>
    <row r="84" spans="1:43" s="58" customFormat="1" ht="31.15" customHeight="1">
      <c r="A84" s="198">
        <v>73</v>
      </c>
      <c r="B84" s="158" t="s">
        <v>45</v>
      </c>
      <c r="C84" s="172"/>
      <c r="D84" s="210"/>
      <c r="E84" s="210"/>
      <c r="F84" s="210"/>
      <c r="G84" s="181" t="s">
        <v>250</v>
      </c>
      <c r="H84" s="181">
        <v>1</v>
      </c>
      <c r="I84" s="160">
        <v>1</v>
      </c>
      <c r="J84" s="182">
        <v>4.6900000000000004</v>
      </c>
      <c r="K84" s="171">
        <v>17697</v>
      </c>
      <c r="L84" s="202">
        <f t="shared" si="76"/>
        <v>82998.930000000008</v>
      </c>
      <c r="M84" s="202">
        <f>L84*25/100</f>
        <v>20749.732500000002</v>
      </c>
      <c r="N84" s="208">
        <f t="shared" ref="N84:N94" si="79">L84+M84</f>
        <v>103748.66250000001</v>
      </c>
      <c r="O84" s="208">
        <f t="shared" ref="O84:O94" si="80">N84</f>
        <v>103748.66250000001</v>
      </c>
      <c r="P84" s="209"/>
      <c r="Q84" s="172"/>
      <c r="R84" s="202"/>
      <c r="S84" s="203">
        <f>I84</f>
        <v>1</v>
      </c>
      <c r="T84" s="172">
        <v>40</v>
      </c>
      <c r="U84" s="202">
        <f t="shared" ref="U84" si="81">K84*S84*T84/100</f>
        <v>7078.8</v>
      </c>
      <c r="V84" s="202"/>
      <c r="W84" s="208"/>
      <c r="X84" s="202"/>
      <c r="Y84" s="202"/>
      <c r="Z84" s="208"/>
      <c r="AA84" s="208"/>
      <c r="AB84" s="208"/>
      <c r="AC84" s="208"/>
      <c r="AD84" s="208"/>
      <c r="AE84" s="208">
        <v>1643</v>
      </c>
      <c r="AF84" s="208">
        <v>25023</v>
      </c>
      <c r="AG84" s="208"/>
      <c r="AH84" s="208"/>
      <c r="AI84" s="202"/>
      <c r="AJ84" s="202">
        <f t="shared" si="71"/>
        <v>44119.666250000002</v>
      </c>
      <c r="AK84" s="202">
        <f t="shared" si="69"/>
        <v>147868.32875000002</v>
      </c>
      <c r="AL84" s="202">
        <f t="shared" si="3"/>
        <v>10374.866250000001</v>
      </c>
      <c r="AM84" s="127"/>
      <c r="AN84" s="127"/>
      <c r="AO84" s="127"/>
      <c r="AP84" s="127"/>
      <c r="AQ84" s="127"/>
    </row>
    <row r="85" spans="1:43" s="58" customFormat="1" ht="31.15" customHeight="1">
      <c r="A85" s="198">
        <v>74</v>
      </c>
      <c r="B85" s="158" t="s">
        <v>45</v>
      </c>
      <c r="C85" s="172"/>
      <c r="D85" s="210"/>
      <c r="E85" s="210"/>
      <c r="F85" s="210"/>
      <c r="G85" s="181" t="s">
        <v>250</v>
      </c>
      <c r="H85" s="181">
        <v>3</v>
      </c>
      <c r="I85" s="160">
        <v>1</v>
      </c>
      <c r="J85" s="183">
        <v>4.43</v>
      </c>
      <c r="K85" s="171">
        <v>17697</v>
      </c>
      <c r="L85" s="202">
        <f t="shared" si="76"/>
        <v>78397.709999999992</v>
      </c>
      <c r="M85" s="202">
        <f t="shared" ref="M85:M94" si="82">L85*25/100</f>
        <v>19599.427499999998</v>
      </c>
      <c r="N85" s="208">
        <f t="shared" si="79"/>
        <v>97997.137499999983</v>
      </c>
      <c r="O85" s="208">
        <f t="shared" si="80"/>
        <v>97997.137499999983</v>
      </c>
      <c r="P85" s="209"/>
      <c r="Q85" s="172"/>
      <c r="R85" s="202"/>
      <c r="S85" s="203">
        <f t="shared" ref="S85:S94" si="83">I85</f>
        <v>1</v>
      </c>
      <c r="T85" s="172">
        <v>40</v>
      </c>
      <c r="U85" s="202">
        <f t="shared" ref="U85:U94" si="84">K85*S85*T85/100</f>
        <v>7078.8</v>
      </c>
      <c r="V85" s="202"/>
      <c r="W85" s="208"/>
      <c r="X85" s="202"/>
      <c r="Y85" s="202"/>
      <c r="Z85" s="208"/>
      <c r="AA85" s="208"/>
      <c r="AB85" s="208"/>
      <c r="AC85" s="208"/>
      <c r="AD85" s="208"/>
      <c r="AE85" s="208">
        <v>1643</v>
      </c>
      <c r="AF85" s="208">
        <v>25023</v>
      </c>
      <c r="AG85" s="208"/>
      <c r="AH85" s="208"/>
      <c r="AI85" s="202"/>
      <c r="AJ85" s="202">
        <f t="shared" si="71"/>
        <v>43544.513749999998</v>
      </c>
      <c r="AK85" s="202">
        <f t="shared" si="69"/>
        <v>141541.65125</v>
      </c>
      <c r="AL85" s="202">
        <f t="shared" ref="AL85:AL94" si="85">N85*10%</f>
        <v>9799.713749999999</v>
      </c>
      <c r="AM85" s="127"/>
      <c r="AN85" s="127"/>
      <c r="AO85" s="127"/>
      <c r="AP85" s="127"/>
      <c r="AQ85" s="127"/>
    </row>
    <row r="86" spans="1:43" s="58" customFormat="1" ht="31.15" customHeight="1">
      <c r="A86" s="198">
        <v>75</v>
      </c>
      <c r="B86" s="158" t="s">
        <v>45</v>
      </c>
      <c r="C86" s="172"/>
      <c r="D86" s="210"/>
      <c r="E86" s="210"/>
      <c r="F86" s="210"/>
      <c r="G86" s="181" t="s">
        <v>250</v>
      </c>
      <c r="H86" s="181">
        <v>2</v>
      </c>
      <c r="I86" s="160">
        <v>1</v>
      </c>
      <c r="J86" s="180">
        <v>4.2300000000000004</v>
      </c>
      <c r="K86" s="171">
        <v>17697</v>
      </c>
      <c r="L86" s="202">
        <f t="shared" si="76"/>
        <v>74858.310000000012</v>
      </c>
      <c r="M86" s="202">
        <f t="shared" si="82"/>
        <v>18714.577500000003</v>
      </c>
      <c r="N86" s="208">
        <f t="shared" si="79"/>
        <v>93572.887500000012</v>
      </c>
      <c r="O86" s="208">
        <f t="shared" si="80"/>
        <v>93572.887500000012</v>
      </c>
      <c r="P86" s="209"/>
      <c r="Q86" s="172"/>
      <c r="R86" s="202"/>
      <c r="S86" s="203">
        <f t="shared" si="83"/>
        <v>1</v>
      </c>
      <c r="T86" s="172">
        <v>40</v>
      </c>
      <c r="U86" s="202">
        <f t="shared" si="84"/>
        <v>7078.8</v>
      </c>
      <c r="V86" s="202"/>
      <c r="W86" s="208"/>
      <c r="X86" s="202"/>
      <c r="Y86" s="202"/>
      <c r="Z86" s="208"/>
      <c r="AA86" s="208"/>
      <c r="AB86" s="208"/>
      <c r="AC86" s="208"/>
      <c r="AD86" s="208"/>
      <c r="AE86" s="208">
        <v>1643</v>
      </c>
      <c r="AF86" s="208">
        <v>25023</v>
      </c>
      <c r="AG86" s="208"/>
      <c r="AH86" s="208"/>
      <c r="AI86" s="202"/>
      <c r="AJ86" s="202">
        <f t="shared" si="71"/>
        <v>43102.088750000003</v>
      </c>
      <c r="AK86" s="202">
        <f t="shared" si="69"/>
        <v>136674.97625000001</v>
      </c>
      <c r="AL86" s="202">
        <f t="shared" si="85"/>
        <v>9357.2887500000015</v>
      </c>
      <c r="AM86" s="127"/>
      <c r="AN86" s="127"/>
      <c r="AO86" s="127"/>
      <c r="AP86" s="127"/>
      <c r="AQ86" s="127"/>
    </row>
    <row r="87" spans="1:43" s="58" customFormat="1" ht="31.15" customHeight="1">
      <c r="A87" s="198">
        <v>76</v>
      </c>
      <c r="B87" s="158" t="s">
        <v>45</v>
      </c>
      <c r="C87" s="172"/>
      <c r="D87" s="210"/>
      <c r="E87" s="210"/>
      <c r="F87" s="210"/>
      <c r="G87" s="181" t="s">
        <v>250</v>
      </c>
      <c r="H87" s="181">
        <v>3</v>
      </c>
      <c r="I87" s="160">
        <v>0.5</v>
      </c>
      <c r="J87" s="180">
        <v>4.5</v>
      </c>
      <c r="K87" s="171">
        <v>17697</v>
      </c>
      <c r="L87" s="202">
        <f t="shared" si="76"/>
        <v>39818.25</v>
      </c>
      <c r="M87" s="202">
        <f t="shared" si="82"/>
        <v>9954.5625</v>
      </c>
      <c r="N87" s="208">
        <f t="shared" si="79"/>
        <v>49772.8125</v>
      </c>
      <c r="O87" s="208">
        <f t="shared" si="80"/>
        <v>49772.8125</v>
      </c>
      <c r="P87" s="209"/>
      <c r="Q87" s="172"/>
      <c r="R87" s="202"/>
      <c r="S87" s="203">
        <f t="shared" si="83"/>
        <v>0.5</v>
      </c>
      <c r="T87" s="172">
        <v>40</v>
      </c>
      <c r="U87" s="202">
        <f t="shared" si="84"/>
        <v>3539.4</v>
      </c>
      <c r="V87" s="202"/>
      <c r="W87" s="208"/>
      <c r="X87" s="202"/>
      <c r="Y87" s="202"/>
      <c r="Z87" s="208"/>
      <c r="AA87" s="208"/>
      <c r="AB87" s="208"/>
      <c r="AC87" s="208"/>
      <c r="AD87" s="208"/>
      <c r="AE87" s="208">
        <v>821</v>
      </c>
      <c r="AF87" s="208">
        <v>12511</v>
      </c>
      <c r="AG87" s="208"/>
      <c r="AH87" s="208"/>
      <c r="AI87" s="202"/>
      <c r="AJ87" s="202">
        <f t="shared" si="71"/>
        <v>21848.681250000001</v>
      </c>
      <c r="AK87" s="202">
        <f t="shared" si="69"/>
        <v>71621.493749999994</v>
      </c>
      <c r="AL87" s="202">
        <f t="shared" si="85"/>
        <v>4977.28125</v>
      </c>
      <c r="AM87" s="127"/>
      <c r="AN87" s="127"/>
      <c r="AO87" s="127"/>
      <c r="AP87" s="127"/>
      <c r="AQ87" s="127"/>
    </row>
    <row r="88" spans="1:43" s="58" customFormat="1" ht="31.15" customHeight="1">
      <c r="A88" s="198">
        <v>77</v>
      </c>
      <c r="B88" s="159" t="s">
        <v>45</v>
      </c>
      <c r="C88" s="172"/>
      <c r="D88" s="210"/>
      <c r="E88" s="210"/>
      <c r="F88" s="210"/>
      <c r="G88" s="245" t="s">
        <v>250</v>
      </c>
      <c r="H88" s="245">
        <v>1</v>
      </c>
      <c r="I88" s="161">
        <v>1</v>
      </c>
      <c r="J88" s="246">
        <v>4.55</v>
      </c>
      <c r="K88" s="171">
        <v>17697</v>
      </c>
      <c r="L88" s="202">
        <f t="shared" si="76"/>
        <v>80521.349999999991</v>
      </c>
      <c r="M88" s="202">
        <f t="shared" si="82"/>
        <v>20130.337499999998</v>
      </c>
      <c r="N88" s="208">
        <f t="shared" si="79"/>
        <v>100651.68749999999</v>
      </c>
      <c r="O88" s="208">
        <f t="shared" si="80"/>
        <v>100651.68749999999</v>
      </c>
      <c r="P88" s="209"/>
      <c r="Q88" s="172"/>
      <c r="R88" s="202"/>
      <c r="S88" s="203">
        <f t="shared" si="83"/>
        <v>1</v>
      </c>
      <c r="T88" s="172">
        <v>40</v>
      </c>
      <c r="U88" s="202">
        <f t="shared" si="84"/>
        <v>7078.8</v>
      </c>
      <c r="V88" s="202"/>
      <c r="W88" s="208"/>
      <c r="X88" s="202"/>
      <c r="Y88" s="202"/>
      <c r="Z88" s="208"/>
      <c r="AA88" s="208"/>
      <c r="AB88" s="208"/>
      <c r="AC88" s="208"/>
      <c r="AD88" s="208"/>
      <c r="AE88" s="208">
        <v>1643</v>
      </c>
      <c r="AF88" s="208">
        <v>25023</v>
      </c>
      <c r="AG88" s="208"/>
      <c r="AH88" s="208"/>
      <c r="AI88" s="202"/>
      <c r="AJ88" s="202">
        <f t="shared" si="71"/>
        <v>43809.96875</v>
      </c>
      <c r="AK88" s="202">
        <f t="shared" si="69"/>
        <v>144461.65625</v>
      </c>
      <c r="AL88" s="202">
        <f t="shared" si="85"/>
        <v>10065.168749999999</v>
      </c>
      <c r="AM88" s="127"/>
      <c r="AN88" s="127"/>
      <c r="AO88" s="127"/>
      <c r="AP88" s="127"/>
      <c r="AQ88" s="127"/>
    </row>
    <row r="89" spans="1:43" s="58" customFormat="1" ht="31.15" customHeight="1">
      <c r="A89" s="198">
        <v>78</v>
      </c>
      <c r="B89" s="159" t="s">
        <v>45</v>
      </c>
      <c r="C89" s="172"/>
      <c r="D89" s="210"/>
      <c r="E89" s="210"/>
      <c r="F89" s="210"/>
      <c r="G89" s="245" t="s">
        <v>250</v>
      </c>
      <c r="H89" s="245">
        <v>1</v>
      </c>
      <c r="I89" s="161">
        <v>1</v>
      </c>
      <c r="J89" s="246">
        <v>4.55</v>
      </c>
      <c r="K89" s="171">
        <v>17697</v>
      </c>
      <c r="L89" s="202">
        <f t="shared" si="76"/>
        <v>80521.349999999991</v>
      </c>
      <c r="M89" s="202">
        <f t="shared" si="82"/>
        <v>20130.337499999998</v>
      </c>
      <c r="N89" s="208">
        <f t="shared" si="79"/>
        <v>100651.68749999999</v>
      </c>
      <c r="O89" s="208">
        <f t="shared" si="80"/>
        <v>100651.68749999999</v>
      </c>
      <c r="P89" s="209"/>
      <c r="Q89" s="172"/>
      <c r="R89" s="202"/>
      <c r="S89" s="203">
        <f t="shared" si="83"/>
        <v>1</v>
      </c>
      <c r="T89" s="172">
        <v>40</v>
      </c>
      <c r="U89" s="202">
        <f t="shared" si="84"/>
        <v>7078.8</v>
      </c>
      <c r="V89" s="202"/>
      <c r="W89" s="208"/>
      <c r="X89" s="202"/>
      <c r="Y89" s="202"/>
      <c r="Z89" s="208"/>
      <c r="AA89" s="208"/>
      <c r="AB89" s="208"/>
      <c r="AC89" s="208"/>
      <c r="AD89" s="208"/>
      <c r="AE89" s="208">
        <v>1643</v>
      </c>
      <c r="AF89" s="208">
        <v>25023</v>
      </c>
      <c r="AG89" s="208"/>
      <c r="AH89" s="208"/>
      <c r="AI89" s="202"/>
      <c r="AJ89" s="202">
        <f t="shared" si="71"/>
        <v>43809.96875</v>
      </c>
      <c r="AK89" s="202">
        <f t="shared" si="69"/>
        <v>144461.65625</v>
      </c>
      <c r="AL89" s="202">
        <f t="shared" si="85"/>
        <v>10065.168749999999</v>
      </c>
      <c r="AM89" s="127"/>
      <c r="AN89" s="127"/>
      <c r="AO89" s="127"/>
      <c r="AP89" s="127"/>
      <c r="AQ89" s="127"/>
    </row>
    <row r="90" spans="1:43" s="58" customFormat="1" ht="31.15" customHeight="1">
      <c r="A90" s="198">
        <v>79</v>
      </c>
      <c r="B90" s="158" t="s">
        <v>45</v>
      </c>
      <c r="C90" s="172"/>
      <c r="D90" s="210"/>
      <c r="E90" s="210"/>
      <c r="F90" s="210"/>
      <c r="G90" s="181" t="s">
        <v>250</v>
      </c>
      <c r="H90" s="181">
        <v>2</v>
      </c>
      <c r="I90" s="160">
        <v>0.5</v>
      </c>
      <c r="J90" s="182">
        <v>4.37</v>
      </c>
      <c r="K90" s="171">
        <v>17697</v>
      </c>
      <c r="L90" s="202">
        <f t="shared" si="76"/>
        <v>38667.945</v>
      </c>
      <c r="M90" s="202">
        <f t="shared" si="82"/>
        <v>9666.9862499999999</v>
      </c>
      <c r="N90" s="208">
        <f t="shared" si="79"/>
        <v>48334.931250000001</v>
      </c>
      <c r="O90" s="208">
        <f t="shared" si="80"/>
        <v>48334.931250000001</v>
      </c>
      <c r="P90" s="209"/>
      <c r="Q90" s="172"/>
      <c r="R90" s="202"/>
      <c r="S90" s="203">
        <f t="shared" si="83"/>
        <v>0.5</v>
      </c>
      <c r="T90" s="172">
        <v>40</v>
      </c>
      <c r="U90" s="202">
        <f t="shared" si="84"/>
        <v>3539.4</v>
      </c>
      <c r="V90" s="202"/>
      <c r="W90" s="208"/>
      <c r="X90" s="202"/>
      <c r="Y90" s="202"/>
      <c r="Z90" s="208"/>
      <c r="AA90" s="208"/>
      <c r="AB90" s="208"/>
      <c r="AC90" s="208"/>
      <c r="AD90" s="208"/>
      <c r="AE90" s="208">
        <v>821</v>
      </c>
      <c r="AF90" s="208">
        <v>12511</v>
      </c>
      <c r="AG90" s="208"/>
      <c r="AH90" s="208"/>
      <c r="AI90" s="202"/>
      <c r="AJ90" s="202">
        <f t="shared" si="71"/>
        <v>21704.893125000002</v>
      </c>
      <c r="AK90" s="202">
        <f t="shared" si="69"/>
        <v>70039.824374999997</v>
      </c>
      <c r="AL90" s="202">
        <f t="shared" si="85"/>
        <v>4833.493125</v>
      </c>
      <c r="AM90" s="127"/>
      <c r="AN90" s="127"/>
      <c r="AO90" s="127"/>
      <c r="AP90" s="127"/>
      <c r="AQ90" s="127"/>
    </row>
    <row r="91" spans="1:43" s="58" customFormat="1" ht="31.15" customHeight="1">
      <c r="A91" s="198">
        <v>80</v>
      </c>
      <c r="B91" s="158" t="s">
        <v>45</v>
      </c>
      <c r="C91" s="172"/>
      <c r="D91" s="210"/>
      <c r="E91" s="210"/>
      <c r="F91" s="210"/>
      <c r="G91" s="181" t="s">
        <v>250</v>
      </c>
      <c r="H91" s="181">
        <v>4</v>
      </c>
      <c r="I91" s="160">
        <v>1</v>
      </c>
      <c r="J91" s="180">
        <v>3.85</v>
      </c>
      <c r="K91" s="171">
        <v>17697</v>
      </c>
      <c r="L91" s="202">
        <f t="shared" si="76"/>
        <v>68133.45</v>
      </c>
      <c r="M91" s="202">
        <f t="shared" si="82"/>
        <v>17033.362499999999</v>
      </c>
      <c r="N91" s="208">
        <f t="shared" si="79"/>
        <v>85166.8125</v>
      </c>
      <c r="O91" s="208">
        <f t="shared" si="80"/>
        <v>85166.8125</v>
      </c>
      <c r="P91" s="209"/>
      <c r="Q91" s="172"/>
      <c r="R91" s="202"/>
      <c r="S91" s="203">
        <f t="shared" si="83"/>
        <v>1</v>
      </c>
      <c r="T91" s="172">
        <v>40</v>
      </c>
      <c r="U91" s="202">
        <f t="shared" si="84"/>
        <v>7078.8</v>
      </c>
      <c r="V91" s="202"/>
      <c r="W91" s="208"/>
      <c r="X91" s="202"/>
      <c r="Y91" s="202"/>
      <c r="Z91" s="208"/>
      <c r="AA91" s="208"/>
      <c r="AB91" s="208"/>
      <c r="AC91" s="208"/>
      <c r="AD91" s="208"/>
      <c r="AE91" s="208">
        <v>1643</v>
      </c>
      <c r="AF91" s="208">
        <v>25023</v>
      </c>
      <c r="AG91" s="208"/>
      <c r="AH91" s="208"/>
      <c r="AI91" s="202"/>
      <c r="AJ91" s="202">
        <f t="shared" si="71"/>
        <v>42261.481249999997</v>
      </c>
      <c r="AK91" s="202">
        <f t="shared" si="69"/>
        <v>127428.29375</v>
      </c>
      <c r="AL91" s="202">
        <f t="shared" si="85"/>
        <v>8516.6812499999996</v>
      </c>
      <c r="AM91" s="127"/>
      <c r="AN91" s="127"/>
      <c r="AO91" s="127"/>
      <c r="AP91" s="127"/>
      <c r="AQ91" s="127"/>
    </row>
    <row r="92" spans="1:43" s="58" customFormat="1" ht="31.15" customHeight="1">
      <c r="A92" s="198">
        <v>81</v>
      </c>
      <c r="B92" s="162" t="s">
        <v>45</v>
      </c>
      <c r="C92" s="172"/>
      <c r="D92" s="210"/>
      <c r="E92" s="210"/>
      <c r="F92" s="210"/>
      <c r="G92" s="247" t="s">
        <v>250</v>
      </c>
      <c r="H92" s="247">
        <v>4</v>
      </c>
      <c r="I92" s="163">
        <v>1</v>
      </c>
      <c r="J92" s="194">
        <v>3.52</v>
      </c>
      <c r="K92" s="171">
        <v>17697</v>
      </c>
      <c r="L92" s="202">
        <f t="shared" si="76"/>
        <v>62293.440000000002</v>
      </c>
      <c r="M92" s="202">
        <f t="shared" si="82"/>
        <v>15573.36</v>
      </c>
      <c r="N92" s="208">
        <f t="shared" si="79"/>
        <v>77866.8</v>
      </c>
      <c r="O92" s="208">
        <f t="shared" si="80"/>
        <v>77866.8</v>
      </c>
      <c r="P92" s="209"/>
      <c r="Q92" s="172"/>
      <c r="R92" s="202"/>
      <c r="S92" s="203">
        <f t="shared" si="83"/>
        <v>1</v>
      </c>
      <c r="T92" s="172">
        <v>40</v>
      </c>
      <c r="U92" s="202">
        <f t="shared" si="84"/>
        <v>7078.8</v>
      </c>
      <c r="V92" s="202"/>
      <c r="W92" s="208"/>
      <c r="X92" s="202"/>
      <c r="Y92" s="202"/>
      <c r="Z92" s="208"/>
      <c r="AA92" s="208"/>
      <c r="AB92" s="208"/>
      <c r="AC92" s="208"/>
      <c r="AD92" s="208"/>
      <c r="AE92" s="208">
        <v>1643</v>
      </c>
      <c r="AF92" s="208">
        <v>25023</v>
      </c>
      <c r="AG92" s="208"/>
      <c r="AH92" s="208"/>
      <c r="AI92" s="202"/>
      <c r="AJ92" s="202">
        <f t="shared" si="71"/>
        <v>41531.479999999996</v>
      </c>
      <c r="AK92" s="202">
        <f t="shared" si="69"/>
        <v>119398.28</v>
      </c>
      <c r="AL92" s="202">
        <f t="shared" si="85"/>
        <v>7786.68</v>
      </c>
      <c r="AM92" s="127"/>
      <c r="AN92" s="127"/>
      <c r="AO92" s="127"/>
      <c r="AP92" s="127"/>
      <c r="AQ92" s="127"/>
    </row>
    <row r="93" spans="1:43" s="58" customFormat="1" ht="31.15" customHeight="1">
      <c r="A93" s="198">
        <v>82</v>
      </c>
      <c r="B93" s="295" t="s">
        <v>45</v>
      </c>
      <c r="C93" s="172"/>
      <c r="D93" s="210"/>
      <c r="E93" s="210"/>
      <c r="F93" s="210"/>
      <c r="G93" s="181" t="s">
        <v>250</v>
      </c>
      <c r="H93" s="181">
        <v>4</v>
      </c>
      <c r="I93" s="296">
        <v>1</v>
      </c>
      <c r="J93" s="194">
        <v>3.64</v>
      </c>
      <c r="K93" s="171">
        <v>17697</v>
      </c>
      <c r="L93" s="202">
        <f t="shared" si="76"/>
        <v>64417.08</v>
      </c>
      <c r="M93" s="202">
        <f t="shared" si="82"/>
        <v>16104.27</v>
      </c>
      <c r="N93" s="208">
        <f t="shared" si="79"/>
        <v>80521.350000000006</v>
      </c>
      <c r="O93" s="208">
        <f t="shared" si="80"/>
        <v>80521.350000000006</v>
      </c>
      <c r="P93" s="209"/>
      <c r="Q93" s="172"/>
      <c r="R93" s="202"/>
      <c r="S93" s="203">
        <f t="shared" si="83"/>
        <v>1</v>
      </c>
      <c r="T93" s="172">
        <v>40</v>
      </c>
      <c r="U93" s="202">
        <f t="shared" si="84"/>
        <v>7078.8</v>
      </c>
      <c r="V93" s="202"/>
      <c r="W93" s="208"/>
      <c r="X93" s="202"/>
      <c r="Y93" s="202"/>
      <c r="Z93" s="208"/>
      <c r="AA93" s="208"/>
      <c r="AB93" s="208"/>
      <c r="AC93" s="208"/>
      <c r="AD93" s="208"/>
      <c r="AE93" s="208">
        <v>1643</v>
      </c>
      <c r="AF93" s="208">
        <v>25023</v>
      </c>
      <c r="AG93" s="208"/>
      <c r="AH93" s="208"/>
      <c r="AI93" s="202"/>
      <c r="AJ93" s="202">
        <f t="shared" si="71"/>
        <v>41796.934999999998</v>
      </c>
      <c r="AK93" s="202">
        <f t="shared" si="69"/>
        <v>122318.285</v>
      </c>
      <c r="AL93" s="202">
        <f t="shared" si="85"/>
        <v>8052.1350000000011</v>
      </c>
      <c r="AM93" s="127"/>
      <c r="AN93" s="127"/>
      <c r="AO93" s="127"/>
      <c r="AP93" s="127"/>
      <c r="AQ93" s="127"/>
    </row>
    <row r="94" spans="1:43" s="58" customFormat="1" ht="31.15" customHeight="1">
      <c r="A94" s="198">
        <v>83</v>
      </c>
      <c r="B94" s="162" t="s">
        <v>45</v>
      </c>
      <c r="C94" s="172"/>
      <c r="D94" s="210"/>
      <c r="E94" s="210"/>
      <c r="F94" s="210"/>
      <c r="G94" s="247" t="s">
        <v>250</v>
      </c>
      <c r="H94" s="247">
        <v>2</v>
      </c>
      <c r="I94" s="163">
        <v>1</v>
      </c>
      <c r="J94" s="194">
        <v>4.37</v>
      </c>
      <c r="K94" s="171">
        <v>17697</v>
      </c>
      <c r="L94" s="202">
        <f t="shared" si="76"/>
        <v>77335.89</v>
      </c>
      <c r="M94" s="202">
        <f t="shared" si="82"/>
        <v>19333.9725</v>
      </c>
      <c r="N94" s="208">
        <f t="shared" si="79"/>
        <v>96669.862500000003</v>
      </c>
      <c r="O94" s="208">
        <f t="shared" si="80"/>
        <v>96669.862500000003</v>
      </c>
      <c r="P94" s="209"/>
      <c r="Q94" s="172"/>
      <c r="R94" s="202"/>
      <c r="S94" s="203">
        <f t="shared" si="83"/>
        <v>1</v>
      </c>
      <c r="T94" s="172">
        <v>40</v>
      </c>
      <c r="U94" s="202">
        <f t="shared" si="84"/>
        <v>7078.8</v>
      </c>
      <c r="V94" s="202"/>
      <c r="W94" s="208"/>
      <c r="X94" s="202"/>
      <c r="Y94" s="202"/>
      <c r="Z94" s="208"/>
      <c r="AA94" s="208"/>
      <c r="AB94" s="208"/>
      <c r="AC94" s="208"/>
      <c r="AD94" s="208"/>
      <c r="AE94" s="208">
        <v>1643</v>
      </c>
      <c r="AF94" s="208">
        <v>25023</v>
      </c>
      <c r="AG94" s="208"/>
      <c r="AH94" s="208"/>
      <c r="AI94" s="202"/>
      <c r="AJ94" s="202">
        <f t="shared" si="71"/>
        <v>43411.786250000005</v>
      </c>
      <c r="AK94" s="202">
        <f t="shared" si="69"/>
        <v>140081.64874999999</v>
      </c>
      <c r="AL94" s="202">
        <f t="shared" si="85"/>
        <v>9666.9862499999999</v>
      </c>
      <c r="AM94" s="127"/>
      <c r="AN94" s="127"/>
      <c r="AO94" s="127"/>
      <c r="AP94" s="127"/>
      <c r="AQ94" s="127"/>
    </row>
    <row r="95" spans="1:43" s="58" customFormat="1" ht="30" customHeight="1">
      <c r="A95" s="198">
        <v>84</v>
      </c>
      <c r="B95" s="172" t="s">
        <v>100</v>
      </c>
      <c r="C95" s="210" t="s">
        <v>44</v>
      </c>
      <c r="D95" s="210" t="s">
        <v>46</v>
      </c>
      <c r="E95" s="211" t="s">
        <v>107</v>
      </c>
      <c r="F95" s="210" t="s">
        <v>46</v>
      </c>
      <c r="G95" s="200" t="s">
        <v>261</v>
      </c>
      <c r="H95" s="213"/>
      <c r="I95" s="206">
        <v>1</v>
      </c>
      <c r="J95" s="172">
        <v>4.6399999999999997</v>
      </c>
      <c r="K95" s="171">
        <v>17697</v>
      </c>
      <c r="L95" s="202">
        <f>K95*J95*I95</f>
        <v>82114.079999999987</v>
      </c>
      <c r="M95" s="202">
        <f>L95*25/100</f>
        <v>20528.519999999997</v>
      </c>
      <c r="N95" s="208">
        <f>L95+M95</f>
        <v>102642.59999999998</v>
      </c>
      <c r="O95" s="208">
        <f>N95</f>
        <v>102642.59999999998</v>
      </c>
      <c r="P95" s="209"/>
      <c r="Q95" s="172"/>
      <c r="R95" s="202"/>
      <c r="S95" s="209">
        <v>1</v>
      </c>
      <c r="T95" s="172">
        <v>40</v>
      </c>
      <c r="U95" s="202">
        <f>K95*S95*T95/100</f>
        <v>7078.8</v>
      </c>
      <c r="V95" s="202"/>
      <c r="W95" s="208"/>
      <c r="X95" s="202"/>
      <c r="Y95" s="203"/>
      <c r="Z95" s="208"/>
      <c r="AA95" s="208"/>
      <c r="AB95" s="208"/>
      <c r="AC95" s="208"/>
      <c r="AD95" s="208"/>
      <c r="AE95" s="208"/>
      <c r="AF95" s="208"/>
      <c r="AG95" s="208"/>
      <c r="AH95" s="208"/>
      <c r="AI95" s="202"/>
      <c r="AJ95" s="202">
        <f>AI95+AA95+X95+U95+R95+AD95+AL95+AE95+AF95</f>
        <v>17343.059999999998</v>
      </c>
      <c r="AK95" s="208">
        <f>AJ95+O95</f>
        <v>119985.65999999997</v>
      </c>
      <c r="AL95" s="202">
        <f>N95*10%</f>
        <v>10264.259999999998</v>
      </c>
      <c r="AM95" s="127"/>
      <c r="AN95" s="127"/>
      <c r="AO95" s="127"/>
      <c r="AP95" s="127"/>
      <c r="AQ95" s="127"/>
    </row>
    <row r="96" spans="1:43" s="58" customFormat="1" ht="30" customHeight="1">
      <c r="A96" s="198">
        <v>85</v>
      </c>
      <c r="B96" s="171" t="s">
        <v>98</v>
      </c>
      <c r="C96" s="210" t="s">
        <v>46</v>
      </c>
      <c r="D96" s="210" t="s">
        <v>46</v>
      </c>
      <c r="E96" s="210" t="s">
        <v>46</v>
      </c>
      <c r="F96" s="210" t="s">
        <v>46</v>
      </c>
      <c r="G96" s="200">
        <v>4</v>
      </c>
      <c r="H96" s="213"/>
      <c r="I96" s="206">
        <v>1</v>
      </c>
      <c r="J96" s="207">
        <v>2.89</v>
      </c>
      <c r="K96" s="171">
        <v>17697</v>
      </c>
      <c r="L96" s="202">
        <f>K96*J96*I96</f>
        <v>51144.33</v>
      </c>
      <c r="M96" s="202"/>
      <c r="N96" s="208">
        <f>L96+M96</f>
        <v>51144.33</v>
      </c>
      <c r="O96" s="208">
        <f>N96</f>
        <v>51144.33</v>
      </c>
      <c r="P96" s="209"/>
      <c r="Q96" s="172"/>
      <c r="R96" s="202"/>
      <c r="S96" s="209"/>
      <c r="T96" s="172"/>
      <c r="U96" s="202"/>
      <c r="V96" s="202"/>
      <c r="W96" s="208"/>
      <c r="X96" s="202"/>
      <c r="Y96" s="202"/>
      <c r="Z96" s="208"/>
      <c r="AA96" s="208"/>
      <c r="AB96" s="208"/>
      <c r="AC96" s="208"/>
      <c r="AD96" s="208"/>
      <c r="AE96" s="208"/>
      <c r="AF96" s="208"/>
      <c r="AG96" s="209"/>
      <c r="AH96" s="208"/>
      <c r="AI96" s="202"/>
      <c r="AJ96" s="202">
        <f t="shared" si="71"/>
        <v>5114.4330000000009</v>
      </c>
      <c r="AK96" s="208">
        <f>AJ96+O96</f>
        <v>56258.763000000006</v>
      </c>
      <c r="AL96" s="202">
        <f>N96*10%</f>
        <v>5114.4330000000009</v>
      </c>
      <c r="AM96" s="127"/>
      <c r="AN96" s="127"/>
      <c r="AO96" s="127"/>
      <c r="AP96" s="127"/>
      <c r="AQ96" s="127"/>
    </row>
    <row r="97" spans="1:43" s="5" customFormat="1" ht="62.25" customHeight="1">
      <c r="A97" s="198">
        <v>86</v>
      </c>
      <c r="B97" s="171" t="s">
        <v>99</v>
      </c>
      <c r="C97" s="172" t="s">
        <v>47</v>
      </c>
      <c r="D97" s="210" t="s">
        <v>46</v>
      </c>
      <c r="E97" s="172" t="s">
        <v>229</v>
      </c>
      <c r="F97" s="200" t="s">
        <v>48</v>
      </c>
      <c r="G97" s="200" t="s">
        <v>250</v>
      </c>
      <c r="H97" s="201" t="s">
        <v>84</v>
      </c>
      <c r="I97" s="206">
        <v>1</v>
      </c>
      <c r="J97" s="207">
        <v>3.52</v>
      </c>
      <c r="K97" s="171">
        <v>17697</v>
      </c>
      <c r="L97" s="202">
        <f>K97*J97*I97</f>
        <v>62293.440000000002</v>
      </c>
      <c r="M97" s="202">
        <f>L97*25/100</f>
        <v>15573.36</v>
      </c>
      <c r="N97" s="208">
        <f>L97+M97</f>
        <v>77866.8</v>
      </c>
      <c r="O97" s="208">
        <f>N97</f>
        <v>77866.8</v>
      </c>
      <c r="P97" s="209"/>
      <c r="Q97" s="172"/>
      <c r="R97" s="202"/>
      <c r="S97" s="209">
        <v>1</v>
      </c>
      <c r="T97" s="172">
        <v>40</v>
      </c>
      <c r="U97" s="202">
        <f>K97*S97*T97/100</f>
        <v>7078.8</v>
      </c>
      <c r="V97" s="202"/>
      <c r="W97" s="208"/>
      <c r="X97" s="202"/>
      <c r="Y97" s="202"/>
      <c r="Z97" s="208"/>
      <c r="AA97" s="208"/>
      <c r="AB97" s="208"/>
      <c r="AC97" s="208"/>
      <c r="AD97" s="208"/>
      <c r="AE97" s="208"/>
      <c r="AF97" s="208"/>
      <c r="AG97" s="208"/>
      <c r="AH97" s="208"/>
      <c r="AI97" s="202"/>
      <c r="AJ97" s="202">
        <f t="shared" si="71"/>
        <v>14865.48</v>
      </c>
      <c r="AK97" s="208">
        <f>AJ97+O97</f>
        <v>92732.28</v>
      </c>
      <c r="AL97" s="202">
        <f>N97*10%</f>
        <v>7786.68</v>
      </c>
      <c r="AM97" s="266"/>
      <c r="AN97" s="266"/>
      <c r="AO97" s="266"/>
      <c r="AP97" s="266"/>
      <c r="AQ97" s="266"/>
    </row>
    <row r="98" spans="1:43" s="58" customFormat="1" ht="15" customHeight="1">
      <c r="A98" s="172"/>
      <c r="B98" s="173" t="s">
        <v>20</v>
      </c>
      <c r="C98" s="173" t="s">
        <v>20</v>
      </c>
      <c r="D98" s="173" t="s">
        <v>20</v>
      </c>
      <c r="E98" s="173" t="s">
        <v>20</v>
      </c>
      <c r="F98" s="173" t="s">
        <v>20</v>
      </c>
      <c r="G98" s="173"/>
      <c r="H98" s="173" t="s">
        <v>20</v>
      </c>
      <c r="I98" s="174">
        <f>SUM(I12:I97)</f>
        <v>76.5</v>
      </c>
      <c r="J98" s="174" t="s">
        <v>101</v>
      </c>
      <c r="K98" s="174" t="s">
        <v>101</v>
      </c>
      <c r="L98" s="174">
        <f t="shared" ref="L98:AL98" si="86">SUM(L12:L97)</f>
        <v>4810363.1459999979</v>
      </c>
      <c r="M98" s="174">
        <f t="shared" si="86"/>
        <v>515217.1852500001</v>
      </c>
      <c r="N98" s="174">
        <f t="shared" si="86"/>
        <v>5325580.331249997</v>
      </c>
      <c r="O98" s="174">
        <f t="shared" si="86"/>
        <v>5325580.331249997</v>
      </c>
      <c r="P98" s="174">
        <f t="shared" si="86"/>
        <v>1</v>
      </c>
      <c r="Q98" s="174">
        <f t="shared" si="86"/>
        <v>30</v>
      </c>
      <c r="R98" s="174">
        <f t="shared" si="86"/>
        <v>5309.1</v>
      </c>
      <c r="S98" s="174">
        <f t="shared" si="86"/>
        <v>29.5</v>
      </c>
      <c r="T98" s="174">
        <f t="shared" si="86"/>
        <v>1410</v>
      </c>
      <c r="U98" s="174">
        <f t="shared" si="86"/>
        <v>198206.39999999994</v>
      </c>
      <c r="V98" s="174">
        <f t="shared" si="86"/>
        <v>1.5</v>
      </c>
      <c r="W98" s="174">
        <f t="shared" si="86"/>
        <v>35</v>
      </c>
      <c r="X98" s="174">
        <f t="shared" si="86"/>
        <v>9290.9249999999993</v>
      </c>
      <c r="Y98" s="174">
        <f t="shared" si="86"/>
        <v>16</v>
      </c>
      <c r="Z98" s="174">
        <f t="shared" si="86"/>
        <v>700</v>
      </c>
      <c r="AA98" s="174">
        <f t="shared" si="86"/>
        <v>242217</v>
      </c>
      <c r="AB98" s="174">
        <f t="shared" si="86"/>
        <v>84</v>
      </c>
      <c r="AC98" s="174">
        <f t="shared" si="86"/>
        <v>7.5</v>
      </c>
      <c r="AD98" s="174">
        <f t="shared" si="86"/>
        <v>65493</v>
      </c>
      <c r="AE98" s="174">
        <f t="shared" si="86"/>
        <v>98435</v>
      </c>
      <c r="AF98" s="174">
        <f t="shared" si="86"/>
        <v>462953</v>
      </c>
      <c r="AG98" s="174">
        <f t="shared" si="86"/>
        <v>18</v>
      </c>
      <c r="AH98" s="174" t="s">
        <v>101</v>
      </c>
      <c r="AI98" s="174">
        <f t="shared" si="86"/>
        <v>95563.8</v>
      </c>
      <c r="AJ98" s="174">
        <f t="shared" si="86"/>
        <v>1710026.2581250004</v>
      </c>
      <c r="AK98" s="175">
        <f t="shared" si="86"/>
        <v>7035606.5893749995</v>
      </c>
      <c r="AL98" s="174">
        <f t="shared" si="86"/>
        <v>532558.03312500031</v>
      </c>
      <c r="AM98" s="127"/>
      <c r="AN98" s="127"/>
      <c r="AO98" s="127"/>
      <c r="AP98" s="127"/>
      <c r="AQ98" s="127"/>
    </row>
    <row r="99" spans="1:43" s="57" customFormat="1" ht="33.75" customHeight="1">
      <c r="A99" s="33"/>
      <c r="B99" s="47"/>
      <c r="C99" s="43" t="s">
        <v>118</v>
      </c>
      <c r="D99" s="43"/>
      <c r="E99" s="176"/>
      <c r="F99" s="176"/>
      <c r="G99" s="113"/>
      <c r="H99" s="43"/>
      <c r="I99" s="177"/>
      <c r="J99" s="176" t="s">
        <v>210</v>
      </c>
      <c r="K99" s="176"/>
      <c r="L99" s="176"/>
      <c r="M99" s="178" t="s">
        <v>36</v>
      </c>
      <c r="N99" s="178"/>
      <c r="O99" s="178"/>
      <c r="P99" s="178"/>
      <c r="Q99" s="178"/>
      <c r="R99" s="178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  <c r="AF99" s="178"/>
      <c r="AG99" s="178"/>
      <c r="AH99" s="178"/>
      <c r="AI99" s="178"/>
      <c r="AJ99" s="178"/>
      <c r="AK99" s="178"/>
      <c r="AL99" s="33"/>
      <c r="AM99" s="33"/>
      <c r="AN99" s="33"/>
      <c r="AO99" s="33"/>
      <c r="AP99" s="33"/>
      <c r="AQ99" s="33"/>
    </row>
    <row r="100" spans="1:43" s="12" customFormat="1" ht="14.25" customHeight="1">
      <c r="A100" s="33"/>
      <c r="B100" s="47"/>
      <c r="C100" s="33"/>
      <c r="D100" s="33"/>
      <c r="E100" s="367" t="s">
        <v>25</v>
      </c>
      <c r="F100" s="367"/>
      <c r="G100" s="185"/>
      <c r="H100" s="47"/>
      <c r="I100" s="33"/>
      <c r="J100" s="367" t="s">
        <v>26</v>
      </c>
      <c r="K100" s="367"/>
      <c r="L100" s="367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</row>
    <row r="101" spans="1:43" s="12" customFormat="1" ht="14.25" customHeight="1">
      <c r="A101" s="33"/>
      <c r="B101" s="47"/>
      <c r="C101" s="33"/>
      <c r="D101" s="33"/>
      <c r="E101" s="33"/>
      <c r="F101" s="33"/>
      <c r="G101" s="33"/>
      <c r="H101" s="47"/>
      <c r="I101" s="128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</row>
    <row r="102" spans="1:43" s="12" customFormat="1" ht="15" customHeight="1">
      <c r="A102" s="33"/>
      <c r="B102" s="47"/>
      <c r="C102" s="43" t="s">
        <v>119</v>
      </c>
      <c r="D102" s="43"/>
      <c r="E102" s="176"/>
      <c r="F102" s="176"/>
      <c r="G102" s="113"/>
      <c r="H102" s="43"/>
      <c r="I102" s="177"/>
      <c r="J102" s="176" t="s">
        <v>109</v>
      </c>
      <c r="K102" s="176"/>
      <c r="L102" s="176"/>
      <c r="M102" s="43" t="s">
        <v>119</v>
      </c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</row>
    <row r="103" spans="1:43" s="12" customFormat="1" ht="14.25" customHeight="1">
      <c r="A103" s="33"/>
      <c r="B103" s="47"/>
      <c r="C103" s="33"/>
      <c r="D103" s="33"/>
      <c r="E103" s="367" t="s">
        <v>25</v>
      </c>
      <c r="F103" s="367"/>
      <c r="G103" s="185"/>
      <c r="H103" s="47"/>
      <c r="I103" s="128"/>
      <c r="J103" s="367" t="s">
        <v>26</v>
      </c>
      <c r="K103" s="367"/>
      <c r="L103" s="367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</row>
    <row r="104" spans="1:43" s="12" customFormat="1" ht="14.25" customHeight="1">
      <c r="A104" s="33"/>
      <c r="B104" s="47"/>
      <c r="C104" s="47"/>
      <c r="D104" s="47"/>
      <c r="E104" s="47"/>
      <c r="F104" s="47"/>
      <c r="G104" s="47"/>
      <c r="H104" s="47"/>
      <c r="I104" s="129"/>
      <c r="J104" s="47"/>
      <c r="K104" s="47"/>
      <c r="L104" s="47"/>
      <c r="M104" s="47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</row>
    <row r="105" spans="1:43" s="6" customFormat="1" ht="12.75">
      <c r="B105" s="32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AB105" s="186"/>
      <c r="AC105" s="186"/>
      <c r="AD105" s="186"/>
      <c r="AE105" s="186"/>
      <c r="AF105" s="186"/>
    </row>
    <row r="106" spans="1:43" s="260" customFormat="1">
      <c r="A106" s="258"/>
      <c r="B106" s="259"/>
      <c r="C106" s="259"/>
      <c r="D106" s="259"/>
      <c r="E106" s="259"/>
      <c r="F106" s="259"/>
      <c r="G106" s="259"/>
      <c r="H106" s="259"/>
      <c r="I106" s="129"/>
      <c r="J106" s="129"/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259"/>
      <c r="AN106" s="259"/>
      <c r="AO106" s="258"/>
      <c r="AP106" s="258"/>
      <c r="AQ106" s="258"/>
    </row>
    <row r="107" spans="1:43" s="261" customFormat="1">
      <c r="A107" s="258"/>
      <c r="B107" s="259"/>
      <c r="C107" s="259"/>
      <c r="D107" s="259"/>
      <c r="E107" s="258"/>
      <c r="F107" s="258"/>
      <c r="G107" s="258"/>
      <c r="H107" s="258"/>
      <c r="I107" s="128"/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  <c r="AJ107" s="128"/>
      <c r="AK107" s="128"/>
      <c r="AL107" s="128"/>
      <c r="AM107" s="258"/>
      <c r="AN107" s="258"/>
      <c r="AO107" s="258"/>
      <c r="AP107" s="258"/>
      <c r="AQ107" s="258"/>
    </row>
    <row r="108" spans="1:43" s="12" customFormat="1">
      <c r="A108" s="33"/>
      <c r="B108" s="47"/>
      <c r="C108" s="47"/>
      <c r="D108" s="47"/>
      <c r="E108" s="33"/>
      <c r="F108" s="33"/>
      <c r="G108" s="33"/>
      <c r="H108" s="191"/>
      <c r="I108" s="191"/>
      <c r="J108" s="191"/>
      <c r="K108" s="191"/>
      <c r="L108" s="191"/>
      <c r="M108" s="191"/>
      <c r="N108" s="191"/>
      <c r="O108" s="191"/>
      <c r="P108" s="191"/>
      <c r="Q108" s="191"/>
      <c r="R108" s="191"/>
      <c r="S108" s="191"/>
      <c r="T108" s="191"/>
      <c r="U108" s="191"/>
      <c r="V108" s="191"/>
      <c r="W108" s="191"/>
      <c r="X108" s="191"/>
      <c r="Y108" s="191"/>
      <c r="Z108" s="191"/>
      <c r="AA108" s="191"/>
      <c r="AB108" s="248"/>
      <c r="AC108" s="248"/>
      <c r="AD108" s="248"/>
      <c r="AE108" s="248"/>
      <c r="AF108" s="248"/>
      <c r="AG108" s="191"/>
      <c r="AH108" s="191"/>
      <c r="AI108" s="191"/>
      <c r="AJ108" s="191"/>
      <c r="AK108" s="191"/>
      <c r="AL108" s="191"/>
      <c r="AM108" s="131"/>
      <c r="AN108" s="128"/>
      <c r="AO108" s="33"/>
      <c r="AP108" s="33"/>
      <c r="AQ108" s="33"/>
    </row>
    <row r="109" spans="1:43" s="123" customFormat="1">
      <c r="A109" s="33"/>
      <c r="B109" s="47"/>
      <c r="C109" s="47"/>
      <c r="D109" s="47"/>
      <c r="E109" s="33"/>
      <c r="F109" s="33"/>
      <c r="G109" s="33"/>
      <c r="H109" s="191"/>
      <c r="I109" s="191"/>
      <c r="J109" s="191"/>
      <c r="K109" s="191"/>
      <c r="L109" s="191"/>
      <c r="M109" s="191"/>
      <c r="N109" s="191"/>
      <c r="O109" s="191"/>
      <c r="P109" s="191"/>
      <c r="Q109" s="191"/>
      <c r="R109" s="191"/>
      <c r="S109" s="191"/>
      <c r="T109" s="191"/>
      <c r="U109" s="191"/>
      <c r="V109" s="191"/>
      <c r="W109" s="191"/>
      <c r="X109" s="191"/>
      <c r="Y109" s="191"/>
      <c r="Z109" s="191"/>
      <c r="AA109" s="191"/>
      <c r="AB109" s="248"/>
      <c r="AC109" s="248"/>
      <c r="AD109" s="248"/>
      <c r="AE109" s="248"/>
      <c r="AF109" s="248"/>
      <c r="AG109" s="191"/>
      <c r="AH109" s="191"/>
      <c r="AI109" s="191"/>
      <c r="AJ109" s="191"/>
      <c r="AK109" s="191"/>
      <c r="AL109" s="191"/>
      <c r="AM109" s="16"/>
      <c r="AN109" s="33"/>
      <c r="AO109" s="130"/>
      <c r="AP109" s="130"/>
      <c r="AQ109" s="130"/>
    </row>
    <row r="110" spans="1:43" s="123" customFormat="1">
      <c r="A110" s="33"/>
      <c r="B110" s="47"/>
      <c r="C110" s="47"/>
      <c r="D110" s="47"/>
      <c r="E110" s="33"/>
      <c r="F110" s="33"/>
      <c r="G110" s="33"/>
      <c r="H110" s="191"/>
      <c r="I110" s="191"/>
      <c r="J110" s="191"/>
      <c r="K110" s="191"/>
      <c r="L110" s="191"/>
      <c r="M110" s="191"/>
      <c r="N110" s="191"/>
      <c r="O110" s="191"/>
      <c r="P110" s="191"/>
      <c r="Q110" s="191"/>
      <c r="R110" s="191"/>
      <c r="S110" s="191"/>
      <c r="T110" s="191"/>
      <c r="U110" s="191"/>
      <c r="V110" s="192"/>
      <c r="W110" s="192"/>
      <c r="X110" s="192"/>
      <c r="Y110" s="191"/>
      <c r="Z110" s="191"/>
      <c r="AA110" s="191"/>
      <c r="AB110" s="248"/>
      <c r="AC110" s="248"/>
      <c r="AD110" s="248"/>
      <c r="AE110" s="248"/>
      <c r="AF110" s="248"/>
      <c r="AG110" s="191"/>
      <c r="AH110" s="191"/>
      <c r="AI110" s="191"/>
      <c r="AJ110" s="191"/>
      <c r="AK110" s="191"/>
      <c r="AL110" s="191"/>
      <c r="AM110" s="16"/>
      <c r="AN110" s="33"/>
      <c r="AO110" s="130"/>
      <c r="AP110" s="130"/>
      <c r="AQ110" s="130"/>
    </row>
    <row r="111" spans="1:43" s="123" customFormat="1">
      <c r="A111" s="33"/>
      <c r="B111" s="47"/>
      <c r="C111" s="47"/>
      <c r="D111" s="47"/>
      <c r="E111" s="33"/>
      <c r="F111" s="33"/>
      <c r="G111" s="33"/>
      <c r="H111" s="33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249"/>
      <c r="AC111" s="249"/>
      <c r="AD111" s="249"/>
      <c r="AE111" s="249"/>
      <c r="AF111" s="249"/>
      <c r="AG111" s="131"/>
      <c r="AH111" s="131"/>
      <c r="AI111" s="131"/>
      <c r="AJ111" s="131"/>
      <c r="AK111" s="131"/>
      <c r="AL111" s="131"/>
      <c r="AM111" s="33"/>
      <c r="AN111" s="33"/>
      <c r="AO111" s="130"/>
      <c r="AP111" s="130"/>
      <c r="AQ111" s="130"/>
    </row>
    <row r="112" spans="1:43" s="123" customFormat="1">
      <c r="A112" s="33"/>
      <c r="B112" s="47"/>
      <c r="C112" s="47"/>
      <c r="D112" s="47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130"/>
      <c r="AC112" s="130"/>
      <c r="AD112" s="130"/>
      <c r="AE112" s="130"/>
      <c r="AF112" s="130"/>
      <c r="AG112" s="33"/>
      <c r="AH112" s="33"/>
      <c r="AI112" s="33"/>
      <c r="AJ112" s="33"/>
      <c r="AK112" s="33"/>
      <c r="AL112" s="33"/>
      <c r="AM112" s="33"/>
      <c r="AN112" s="33"/>
      <c r="AO112" s="130"/>
      <c r="AP112" s="130"/>
      <c r="AQ112" s="130"/>
    </row>
    <row r="113" spans="1:43" s="12" customFormat="1">
      <c r="A113" s="33"/>
      <c r="B113" s="47"/>
      <c r="C113" s="47"/>
      <c r="D113" s="47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130"/>
      <c r="AC113" s="130"/>
      <c r="AD113" s="130"/>
      <c r="AE113" s="130"/>
      <c r="AF113" s="130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</row>
    <row r="114" spans="1:43" s="12" customFormat="1">
      <c r="A114" s="33"/>
      <c r="B114" s="47"/>
      <c r="C114" s="47"/>
      <c r="D114" s="47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130"/>
      <c r="AC114" s="130"/>
      <c r="AD114" s="130"/>
      <c r="AE114" s="130"/>
      <c r="AF114" s="130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</row>
    <row r="115" spans="1:43" s="12" customFormat="1">
      <c r="A115" s="33"/>
      <c r="B115" s="47"/>
      <c r="C115" s="47"/>
      <c r="D115" s="47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130"/>
      <c r="AC115" s="130"/>
      <c r="AD115" s="130"/>
      <c r="AE115" s="130"/>
      <c r="AF115" s="130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</row>
    <row r="116" spans="1:43">
      <c r="B116" s="47"/>
      <c r="C116" s="47"/>
      <c r="D116" s="47"/>
    </row>
    <row r="117" spans="1:43">
      <c r="B117" s="47"/>
      <c r="C117" s="47"/>
      <c r="D117" s="47"/>
    </row>
    <row r="118" spans="1:43">
      <c r="B118" s="47"/>
      <c r="C118" s="47"/>
      <c r="D118" s="47"/>
    </row>
    <row r="119" spans="1:43">
      <c r="B119" s="47"/>
      <c r="C119" s="47"/>
      <c r="D119" s="47"/>
    </row>
    <row r="120" spans="1:43">
      <c r="B120" s="47"/>
      <c r="C120" s="47"/>
      <c r="D120" s="47"/>
    </row>
    <row r="121" spans="1:43">
      <c r="B121" s="47"/>
      <c r="C121" s="47"/>
      <c r="D121" s="47"/>
    </row>
    <row r="122" spans="1:43">
      <c r="B122" s="47"/>
      <c r="C122" s="47"/>
      <c r="D122" s="47"/>
    </row>
    <row r="123" spans="1:43">
      <c r="B123" s="47"/>
      <c r="C123" s="47"/>
      <c r="D123" s="47"/>
    </row>
    <row r="124" spans="1:43">
      <c r="B124" s="47"/>
      <c r="C124" s="47"/>
      <c r="D124" s="47"/>
    </row>
    <row r="125" spans="1:43">
      <c r="B125" s="47"/>
      <c r="C125" s="47"/>
      <c r="D125" s="47"/>
    </row>
    <row r="126" spans="1:43">
      <c r="B126" s="47"/>
      <c r="C126" s="47"/>
      <c r="D126" s="47"/>
    </row>
    <row r="127" spans="1:43">
      <c r="B127" s="47"/>
      <c r="C127" s="47"/>
      <c r="D127" s="47"/>
    </row>
    <row r="128" spans="1:43">
      <c r="B128" s="47"/>
      <c r="C128" s="47"/>
      <c r="D128" s="47"/>
    </row>
    <row r="129" spans="2:4">
      <c r="B129" s="47"/>
      <c r="C129" s="47"/>
      <c r="D129" s="47"/>
    </row>
    <row r="130" spans="2:4">
      <c r="B130" s="47"/>
      <c r="C130" s="47"/>
      <c r="D130" s="47"/>
    </row>
  </sheetData>
  <sheetProtection formatCells="0" formatColumns="0" formatRows="0" deleteColumns="0" deleteRows="0"/>
  <customSheetViews>
    <customSheetView guid="{04A8CA6F-AD9A-4D5D-9C23-0ABC34EDB569}" scale="85" hiddenColumns="1" showRuler="0" topLeftCell="A10">
      <pane xSplit="3" topLeftCell="D1" activePane="topRight" state="frozen"/>
      <selection pane="topRight" activeCell="K16" sqref="K16"/>
      <pageMargins left="0.75" right="0.75" top="0.37" bottom="0.18" header="0.28000000000000003" footer="0.25"/>
      <pageSetup paperSize="9" scale="80" orientation="landscape" verticalDpi="0" r:id="rId1"/>
      <headerFooter alignWithMargins="0"/>
    </customSheetView>
  </customSheetViews>
  <mergeCells count="30">
    <mergeCell ref="L9:L10"/>
    <mergeCell ref="E9:E10"/>
    <mergeCell ref="F9:F10"/>
    <mergeCell ref="L8:AK8"/>
    <mergeCell ref="A9:A10"/>
    <mergeCell ref="B9:B10"/>
    <mergeCell ref="C9:C10"/>
    <mergeCell ref="D9:D10"/>
    <mergeCell ref="K9:K10"/>
    <mergeCell ref="V9:X9"/>
    <mergeCell ref="Y9:AA9"/>
    <mergeCell ref="O9:O10"/>
    <mergeCell ref="P9:R9"/>
    <mergeCell ref="AB9:AD9"/>
    <mergeCell ref="C1:O7"/>
    <mergeCell ref="AL9:AL10"/>
    <mergeCell ref="E100:F100"/>
    <mergeCell ref="J100:L100"/>
    <mergeCell ref="E103:F103"/>
    <mergeCell ref="J103:L103"/>
    <mergeCell ref="H9:H10"/>
    <mergeCell ref="I9:I10"/>
    <mergeCell ref="J9:J10"/>
    <mergeCell ref="G9:G10"/>
    <mergeCell ref="AJ9:AJ10"/>
    <mergeCell ref="AK9:AK10"/>
    <mergeCell ref="M9:M10"/>
    <mergeCell ref="N9:N10"/>
    <mergeCell ref="AG9:AI9"/>
    <mergeCell ref="S9:U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41" fitToWidth="2" fitToHeight="3" orientation="landscape" verticalDpi="300" r:id="rId2"/>
  <headerFooter alignWithMargins="0">
    <oddFooter>Страница &amp;P</oddFooter>
  </headerFooter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N51"/>
  <sheetViews>
    <sheetView topLeftCell="A6" workbookViewId="0">
      <selection activeCell="F13" sqref="F13"/>
    </sheetView>
  </sheetViews>
  <sheetFormatPr defaultRowHeight="12.75"/>
  <cols>
    <col min="1" max="1" width="19.85546875" customWidth="1"/>
    <col min="2" max="2" width="7.42578125" customWidth="1"/>
    <col min="3" max="3" width="11.5703125" customWidth="1"/>
    <col min="4" max="4" width="12.42578125" customWidth="1"/>
    <col min="5" max="5" width="10.7109375" customWidth="1"/>
    <col min="6" max="6" width="12.7109375" customWidth="1"/>
    <col min="7" max="7" width="12.7109375" hidden="1" customWidth="1"/>
    <col min="9" max="9" width="19.28515625" customWidth="1"/>
    <col min="10" max="10" width="10.42578125" customWidth="1"/>
    <col min="11" max="11" width="13.42578125" customWidth="1"/>
  </cols>
  <sheetData>
    <row r="1" spans="1:14">
      <c r="A1" s="57"/>
      <c r="B1" s="57"/>
      <c r="C1" s="57"/>
      <c r="D1" s="57"/>
      <c r="E1" s="57"/>
      <c r="F1" s="57"/>
      <c r="G1" s="57"/>
      <c r="H1" s="57"/>
      <c r="I1" s="45"/>
      <c r="J1" s="45"/>
      <c r="K1" s="45"/>
      <c r="L1" s="45"/>
      <c r="M1" s="45"/>
      <c r="N1" s="45"/>
    </row>
    <row r="2" spans="1:14">
      <c r="A2" s="103"/>
      <c r="B2" s="103"/>
      <c r="C2" s="103" t="s">
        <v>193</v>
      </c>
      <c r="D2" s="103"/>
      <c r="E2" s="103"/>
      <c r="F2" s="103"/>
      <c r="G2" s="103"/>
      <c r="H2" s="57"/>
      <c r="I2" s="141"/>
      <c r="J2" s="141"/>
      <c r="K2" s="141"/>
      <c r="L2" s="141"/>
      <c r="M2" s="141"/>
      <c r="N2" s="141"/>
    </row>
    <row r="3" spans="1:14" ht="12.75" customHeight="1">
      <c r="A3" s="377" t="s">
        <v>194</v>
      </c>
      <c r="B3" s="377"/>
      <c r="C3" s="377"/>
      <c r="D3" s="377"/>
      <c r="E3" s="377"/>
      <c r="F3" s="377"/>
      <c r="G3" s="104"/>
      <c r="H3" s="57"/>
      <c r="I3" s="379"/>
      <c r="J3" s="379"/>
      <c r="K3" s="379"/>
      <c r="L3" s="379"/>
      <c r="M3" s="379"/>
      <c r="N3" s="379"/>
    </row>
    <row r="4" spans="1:14">
      <c r="A4" s="377"/>
      <c r="B4" s="377"/>
      <c r="C4" s="377"/>
      <c r="D4" s="377"/>
      <c r="E4" s="377"/>
      <c r="F4" s="377"/>
      <c r="G4" s="104"/>
      <c r="H4" s="57"/>
      <c r="I4" s="379"/>
      <c r="J4" s="379"/>
      <c r="K4" s="379"/>
      <c r="L4" s="379"/>
      <c r="M4" s="379"/>
      <c r="N4" s="379"/>
    </row>
    <row r="5" spans="1:14" ht="40.5" customHeight="1">
      <c r="A5" s="377"/>
      <c r="B5" s="377"/>
      <c r="C5" s="377"/>
      <c r="D5" s="377"/>
      <c r="E5" s="377"/>
      <c r="F5" s="377"/>
      <c r="G5" s="104"/>
      <c r="H5" s="57"/>
      <c r="I5" s="379"/>
      <c r="J5" s="379"/>
      <c r="K5" s="379"/>
      <c r="L5" s="379"/>
      <c r="M5" s="379"/>
      <c r="N5" s="379"/>
    </row>
    <row r="6" spans="1:14" ht="19.5" customHeight="1">
      <c r="A6" s="105"/>
      <c r="B6" s="105" t="s">
        <v>292</v>
      </c>
      <c r="C6" s="105"/>
      <c r="D6" s="105"/>
      <c r="E6" s="105"/>
      <c r="F6" s="105"/>
      <c r="G6" s="105"/>
      <c r="H6" s="57"/>
      <c r="I6" s="142"/>
      <c r="J6" s="142"/>
      <c r="K6" s="142"/>
      <c r="L6" s="142"/>
      <c r="M6" s="142"/>
      <c r="N6" s="142"/>
    </row>
    <row r="7" spans="1:14">
      <c r="A7" s="57"/>
      <c r="B7" s="57"/>
      <c r="C7" s="57"/>
      <c r="D7" s="106"/>
      <c r="E7" s="57"/>
      <c r="F7" s="57"/>
      <c r="G7" s="57"/>
      <c r="H7" s="57"/>
      <c r="I7" s="45"/>
      <c r="J7" s="45"/>
      <c r="K7" s="45"/>
      <c r="L7" s="143"/>
      <c r="M7" s="45"/>
      <c r="N7" s="45"/>
    </row>
    <row r="8" spans="1:14" ht="57.75" customHeight="1">
      <c r="A8" s="9" t="s">
        <v>124</v>
      </c>
      <c r="B8" s="9" t="s">
        <v>246</v>
      </c>
      <c r="C8" s="9" t="s">
        <v>272</v>
      </c>
      <c r="D8" s="9" t="s">
        <v>133</v>
      </c>
      <c r="E8" s="9" t="s">
        <v>134</v>
      </c>
      <c r="F8" s="190" t="s">
        <v>12</v>
      </c>
      <c r="G8" s="102"/>
      <c r="H8" s="57"/>
      <c r="I8" s="110"/>
      <c r="J8" s="110"/>
      <c r="K8" s="110"/>
      <c r="L8" s="110"/>
      <c r="M8" s="110"/>
      <c r="N8" s="144"/>
    </row>
    <row r="9" spans="1:14" s="6" customFormat="1" ht="12.75" customHeight="1">
      <c r="A9" s="4" t="s">
        <v>135</v>
      </c>
      <c r="B9" s="214" t="s">
        <v>250</v>
      </c>
      <c r="C9" s="214">
        <v>5362</v>
      </c>
      <c r="D9" s="214">
        <v>10</v>
      </c>
      <c r="E9" s="214">
        <v>56</v>
      </c>
      <c r="F9" s="326">
        <f>C9*D9*E9</f>
        <v>3002720</v>
      </c>
      <c r="G9" s="215"/>
      <c r="I9" s="32"/>
      <c r="J9" s="196"/>
      <c r="K9" s="196"/>
      <c r="L9" s="196"/>
      <c r="M9" s="196"/>
      <c r="N9" s="216"/>
    </row>
    <row r="10" spans="1:14" s="6" customFormat="1" ht="12.75" customHeight="1">
      <c r="A10" s="107" t="s">
        <v>128</v>
      </c>
      <c r="B10" s="107"/>
      <c r="C10" s="107"/>
      <c r="D10" s="107">
        <v>25</v>
      </c>
      <c r="E10" s="107"/>
      <c r="F10" s="108">
        <f>F9</f>
        <v>3002720</v>
      </c>
      <c r="G10" s="108"/>
      <c r="I10" s="114"/>
      <c r="J10" s="114"/>
      <c r="K10" s="114"/>
      <c r="L10" s="114"/>
      <c r="M10" s="114"/>
      <c r="N10" s="145"/>
    </row>
    <row r="11" spans="1:14" s="6" customFormat="1" ht="12.75" customHeight="1">
      <c r="A11" s="8" t="s">
        <v>136</v>
      </c>
      <c r="B11" s="214" t="s">
        <v>249</v>
      </c>
      <c r="C11" s="214">
        <v>4266</v>
      </c>
      <c r="D11" s="214">
        <v>4</v>
      </c>
      <c r="E11" s="214">
        <v>42</v>
      </c>
      <c r="F11" s="326">
        <f t="shared" ref="F11:F19" si="0">C11*D11*E11</f>
        <v>716688</v>
      </c>
      <c r="G11" s="215"/>
      <c r="I11" s="132"/>
      <c r="J11" s="196"/>
      <c r="K11" s="196"/>
      <c r="L11" s="196"/>
      <c r="M11" s="196"/>
      <c r="N11" s="216"/>
    </row>
    <row r="12" spans="1:14" s="6" customFormat="1" ht="12.75" customHeight="1">
      <c r="A12" s="8" t="s">
        <v>137</v>
      </c>
      <c r="B12" s="214" t="s">
        <v>256</v>
      </c>
      <c r="C12" s="214">
        <v>1281</v>
      </c>
      <c r="D12" s="214">
        <v>0.5</v>
      </c>
      <c r="E12" s="214">
        <v>30</v>
      </c>
      <c r="F12" s="326">
        <f t="shared" si="0"/>
        <v>19215</v>
      </c>
      <c r="G12" s="215"/>
      <c r="I12" s="132"/>
      <c r="J12" s="196"/>
      <c r="K12" s="196"/>
      <c r="L12" s="196"/>
      <c r="M12" s="196"/>
      <c r="N12" s="216"/>
    </row>
    <row r="13" spans="1:14" s="6" customFormat="1">
      <c r="A13" s="8" t="s">
        <v>138</v>
      </c>
      <c r="B13" s="214" t="s">
        <v>256</v>
      </c>
      <c r="C13" s="214">
        <v>3555</v>
      </c>
      <c r="D13" s="214">
        <v>4</v>
      </c>
      <c r="E13" s="214">
        <v>30</v>
      </c>
      <c r="F13" s="215">
        <f t="shared" si="0"/>
        <v>426600</v>
      </c>
      <c r="G13" s="215"/>
      <c r="I13" s="132"/>
      <c r="J13" s="196"/>
      <c r="K13" s="196"/>
      <c r="L13" s="196"/>
      <c r="M13" s="196"/>
      <c r="N13" s="216"/>
    </row>
    <row r="14" spans="1:14" s="6" customFormat="1" ht="31.5" customHeight="1">
      <c r="A14" s="8" t="s">
        <v>76</v>
      </c>
      <c r="B14" s="214">
        <v>2</v>
      </c>
      <c r="C14" s="214">
        <v>2400</v>
      </c>
      <c r="D14" s="214">
        <v>1</v>
      </c>
      <c r="E14" s="214">
        <v>24</v>
      </c>
      <c r="F14" s="326">
        <f t="shared" si="0"/>
        <v>57600</v>
      </c>
      <c r="G14" s="215"/>
      <c r="I14" s="132"/>
      <c r="J14" s="196"/>
      <c r="K14" s="196"/>
      <c r="L14" s="196"/>
      <c r="M14" s="196"/>
      <c r="N14" s="216"/>
    </row>
    <row r="15" spans="1:14" s="6" customFormat="1" ht="42" customHeight="1">
      <c r="A15" s="8" t="s">
        <v>262</v>
      </c>
      <c r="B15" s="214" t="s">
        <v>250</v>
      </c>
      <c r="C15" s="214">
        <v>5166</v>
      </c>
      <c r="D15" s="214">
        <v>2</v>
      </c>
      <c r="E15" s="214">
        <v>56</v>
      </c>
      <c r="F15" s="326">
        <f t="shared" si="0"/>
        <v>578592</v>
      </c>
      <c r="G15" s="215"/>
      <c r="I15" s="132"/>
      <c r="J15" s="196"/>
      <c r="K15" s="196"/>
      <c r="L15" s="196"/>
      <c r="M15" s="196"/>
      <c r="N15" s="216"/>
    </row>
    <row r="16" spans="1:14" s="6" customFormat="1" ht="12.75" customHeight="1">
      <c r="A16" s="8" t="s">
        <v>139</v>
      </c>
      <c r="B16" s="214">
        <v>4</v>
      </c>
      <c r="C16" s="214">
        <v>2463</v>
      </c>
      <c r="D16" s="214">
        <v>2</v>
      </c>
      <c r="E16" s="214">
        <v>36</v>
      </c>
      <c r="F16" s="326">
        <f t="shared" si="0"/>
        <v>177336</v>
      </c>
      <c r="G16" s="215"/>
      <c r="I16" s="132"/>
      <c r="J16" s="196"/>
      <c r="K16" s="196"/>
      <c r="L16" s="196"/>
      <c r="M16" s="196"/>
      <c r="N16" s="216"/>
    </row>
    <row r="17" spans="1:14" s="6" customFormat="1" ht="12.75" customHeight="1">
      <c r="A17" s="8" t="s">
        <v>140</v>
      </c>
      <c r="B17" s="214">
        <v>2</v>
      </c>
      <c r="C17" s="214">
        <v>2400</v>
      </c>
      <c r="D17" s="214">
        <v>2</v>
      </c>
      <c r="E17" s="214">
        <v>24</v>
      </c>
      <c r="F17" s="326">
        <f t="shared" si="0"/>
        <v>115200</v>
      </c>
      <c r="G17" s="215"/>
      <c r="I17" s="132"/>
      <c r="J17" s="196"/>
      <c r="K17" s="196"/>
      <c r="L17" s="196"/>
      <c r="M17" s="196"/>
      <c r="N17" s="216"/>
    </row>
    <row r="18" spans="1:14" s="6" customFormat="1" ht="14.25" customHeight="1">
      <c r="A18" s="8" t="s">
        <v>141</v>
      </c>
      <c r="B18" s="214">
        <v>1</v>
      </c>
      <c r="C18" s="214">
        <v>2760</v>
      </c>
      <c r="D18" s="214">
        <v>6</v>
      </c>
      <c r="E18" s="214">
        <v>24</v>
      </c>
      <c r="F18" s="326">
        <f t="shared" si="0"/>
        <v>397440</v>
      </c>
      <c r="G18" s="215"/>
      <c r="I18" s="132"/>
      <c r="J18" s="196"/>
      <c r="K18" s="196"/>
      <c r="L18" s="196"/>
      <c r="M18" s="196"/>
      <c r="N18" s="216"/>
    </row>
    <row r="19" spans="1:14" s="6" customFormat="1" ht="12.75" customHeight="1">
      <c r="A19" s="8" t="s">
        <v>142</v>
      </c>
      <c r="B19" s="214">
        <v>2</v>
      </c>
      <c r="C19" s="214">
        <v>2668</v>
      </c>
      <c r="D19" s="214">
        <v>1</v>
      </c>
      <c r="E19" s="214">
        <v>24</v>
      </c>
      <c r="F19" s="326">
        <f t="shared" si="0"/>
        <v>64032</v>
      </c>
      <c r="G19" s="215"/>
      <c r="I19" s="132"/>
      <c r="J19" s="196"/>
      <c r="K19" s="196"/>
      <c r="L19" s="196"/>
      <c r="M19" s="196"/>
      <c r="N19" s="216"/>
    </row>
    <row r="20" spans="1:14">
      <c r="A20" s="53" t="s">
        <v>128</v>
      </c>
      <c r="B20" s="89"/>
      <c r="C20" s="107"/>
      <c r="D20" s="107"/>
      <c r="E20" s="107"/>
      <c r="F20" s="109">
        <f>SUM(F11:F19)</f>
        <v>2552703</v>
      </c>
      <c r="G20" s="109"/>
      <c r="H20" s="57"/>
      <c r="I20" s="111"/>
      <c r="J20" s="46"/>
      <c r="K20" s="114"/>
      <c r="L20" s="114"/>
      <c r="M20" s="114"/>
      <c r="N20" s="146"/>
    </row>
    <row r="21" spans="1:14" ht="12.75" customHeight="1">
      <c r="A21" s="53" t="s">
        <v>37</v>
      </c>
      <c r="B21" s="89"/>
      <c r="C21" s="89"/>
      <c r="D21" s="89"/>
      <c r="E21" s="89"/>
      <c r="F21" s="108">
        <f>F20+F10</f>
        <v>5555423</v>
      </c>
      <c r="G21" s="108"/>
      <c r="H21" s="57"/>
      <c r="I21" s="111"/>
      <c r="J21" s="46"/>
      <c r="K21" s="46"/>
      <c r="L21" s="46"/>
      <c r="M21" s="46"/>
      <c r="N21" s="145"/>
    </row>
    <row r="22" spans="1:14">
      <c r="A22" s="110"/>
      <c r="B22" s="45"/>
      <c r="C22" s="45"/>
      <c r="D22" s="45"/>
      <c r="E22" s="45"/>
      <c r="F22" s="45"/>
      <c r="G22" s="45"/>
      <c r="H22" s="57"/>
      <c r="I22" s="110"/>
      <c r="J22" s="45"/>
      <c r="K22" s="45"/>
      <c r="L22" s="45"/>
      <c r="M22" s="45"/>
      <c r="N22" s="45"/>
    </row>
    <row r="23" spans="1:14">
      <c r="A23" s="111" t="s">
        <v>36</v>
      </c>
      <c r="B23" s="112"/>
      <c r="C23" s="112"/>
      <c r="D23" s="46" t="s">
        <v>221</v>
      </c>
      <c r="E23" s="45"/>
      <c r="F23" s="45"/>
      <c r="G23" s="45"/>
      <c r="H23" s="57"/>
      <c r="I23" s="111"/>
      <c r="J23" s="46"/>
      <c r="K23" s="46"/>
      <c r="L23" s="46"/>
      <c r="M23" s="45"/>
      <c r="N23" s="45"/>
    </row>
    <row r="24" spans="1:14" ht="21.75" customHeight="1">
      <c r="A24" s="111" t="s">
        <v>119</v>
      </c>
      <c r="B24" s="193"/>
      <c r="C24" s="193"/>
      <c r="D24" s="15" t="s">
        <v>143</v>
      </c>
      <c r="E24" s="57"/>
      <c r="F24" s="57"/>
      <c r="I24" s="133"/>
      <c r="J24" s="36"/>
      <c r="K24" s="36"/>
      <c r="L24" s="36"/>
      <c r="M24" s="31"/>
      <c r="N24" s="31"/>
    </row>
    <row r="25" spans="1:14">
      <c r="A25" s="46"/>
      <c r="B25" s="46"/>
      <c r="C25" s="46"/>
      <c r="D25" s="46"/>
      <c r="E25" s="57"/>
      <c r="F25" s="57"/>
      <c r="I25" s="36"/>
      <c r="J25" s="36"/>
      <c r="K25" s="36"/>
      <c r="L25" s="36"/>
      <c r="M25" s="31"/>
      <c r="N25" s="31"/>
    </row>
    <row r="26" spans="1:14">
      <c r="A26" s="46"/>
      <c r="B26" s="46"/>
      <c r="C26" s="46"/>
      <c r="D26" s="46"/>
      <c r="E26" s="57"/>
      <c r="F26" s="57"/>
      <c r="I26" s="36"/>
      <c r="J26" s="36"/>
      <c r="K26" s="36"/>
      <c r="L26" s="36"/>
      <c r="M26" s="31"/>
      <c r="N26" s="31"/>
    </row>
    <row r="27" spans="1:14">
      <c r="A27" s="46"/>
      <c r="B27" s="46"/>
      <c r="C27" s="46"/>
      <c r="D27" s="46"/>
      <c r="E27" s="57"/>
      <c r="F27" s="57"/>
      <c r="I27" s="31"/>
      <c r="J27" s="31"/>
      <c r="K27" s="31"/>
      <c r="L27" s="31"/>
      <c r="M27" s="31"/>
      <c r="N27" s="31"/>
    </row>
    <row r="28" spans="1:14">
      <c r="A28" s="46"/>
      <c r="B28" s="46"/>
      <c r="C28" s="46"/>
      <c r="D28" s="46"/>
      <c r="E28" s="57"/>
      <c r="F28" s="57"/>
    </row>
    <row r="29" spans="1:14">
      <c r="A29" s="41"/>
      <c r="B29" s="41"/>
      <c r="C29" s="41"/>
      <c r="D29" s="41"/>
      <c r="E29" s="41"/>
      <c r="F29" s="41"/>
      <c r="G29" s="41"/>
    </row>
    <row r="30" spans="1:14">
      <c r="A30" s="378"/>
      <c r="B30" s="378"/>
      <c r="C30" s="378"/>
      <c r="D30" s="378"/>
      <c r="E30" s="378"/>
      <c r="F30" s="378"/>
      <c r="G30" s="94"/>
    </row>
    <row r="31" spans="1:14">
      <c r="A31" s="378"/>
      <c r="B31" s="378"/>
      <c r="C31" s="378"/>
      <c r="D31" s="378"/>
      <c r="E31" s="378"/>
      <c r="F31" s="378"/>
      <c r="G31" s="94"/>
    </row>
    <row r="32" spans="1:14">
      <c r="A32" s="378"/>
      <c r="B32" s="378"/>
      <c r="C32" s="378"/>
      <c r="D32" s="378"/>
      <c r="E32" s="378"/>
      <c r="F32" s="378"/>
      <c r="G32" s="94"/>
    </row>
    <row r="33" spans="1:7">
      <c r="A33" s="17"/>
      <c r="B33" s="17"/>
      <c r="C33" s="17"/>
      <c r="D33" s="17"/>
      <c r="E33" s="17"/>
      <c r="F33" s="17"/>
      <c r="G33" s="17"/>
    </row>
    <row r="35" spans="1:7">
      <c r="A35" s="25"/>
      <c r="B35" s="24"/>
      <c r="C35" s="25"/>
      <c r="D35" s="25"/>
      <c r="E35" s="25"/>
      <c r="F35" s="66"/>
      <c r="G35" s="95"/>
    </row>
    <row r="36" spans="1:7">
      <c r="A36" s="24"/>
      <c r="B36" s="28"/>
      <c r="C36" s="28"/>
      <c r="D36" s="28"/>
      <c r="E36" s="28"/>
      <c r="F36" s="67"/>
      <c r="G36" s="96"/>
    </row>
    <row r="37" spans="1:7">
      <c r="A37" s="27"/>
      <c r="B37" s="27"/>
      <c r="C37" s="27"/>
      <c r="D37" s="27"/>
      <c r="E37" s="27"/>
      <c r="F37" s="68"/>
      <c r="G37" s="97"/>
    </row>
    <row r="38" spans="1:7">
      <c r="A38" s="25"/>
      <c r="B38" s="28"/>
      <c r="C38" s="11"/>
      <c r="D38" s="28"/>
      <c r="E38" s="28"/>
      <c r="F38" s="67"/>
      <c r="G38" s="96"/>
    </row>
    <row r="39" spans="1:7">
      <c r="A39" s="25"/>
      <c r="B39" s="28"/>
      <c r="C39" s="28"/>
      <c r="D39" s="28"/>
      <c r="E39" s="28"/>
      <c r="F39" s="67"/>
      <c r="G39" s="96"/>
    </row>
    <row r="40" spans="1:7">
      <c r="A40" s="25"/>
      <c r="B40" s="28"/>
      <c r="C40" s="28"/>
      <c r="D40" s="28"/>
      <c r="E40" s="28"/>
      <c r="F40" s="67"/>
      <c r="G40" s="96"/>
    </row>
    <row r="41" spans="1:7">
      <c r="A41" s="25"/>
      <c r="B41" s="28"/>
      <c r="C41" s="28"/>
      <c r="D41" s="28"/>
      <c r="E41" s="28"/>
      <c r="F41" s="67"/>
      <c r="G41" s="96"/>
    </row>
    <row r="42" spans="1:7">
      <c r="A42" s="25"/>
      <c r="B42" s="28"/>
      <c r="C42" s="28"/>
      <c r="D42" s="28"/>
      <c r="E42" s="28"/>
      <c r="F42" s="67"/>
      <c r="G42" s="96"/>
    </row>
    <row r="43" spans="1:7">
      <c r="A43" s="9"/>
      <c r="B43" s="11"/>
      <c r="C43" s="11"/>
      <c r="D43" s="11"/>
      <c r="E43" s="11"/>
      <c r="F43" s="87"/>
      <c r="G43" s="98"/>
    </row>
    <row r="44" spans="1:7">
      <c r="A44" s="25"/>
      <c r="B44" s="28"/>
      <c r="C44" s="28"/>
      <c r="D44" s="28"/>
      <c r="E44" s="28"/>
      <c r="F44" s="67"/>
      <c r="G44" s="96"/>
    </row>
    <row r="45" spans="1:7">
      <c r="A45" s="29"/>
      <c r="B45" s="26"/>
      <c r="C45" s="27"/>
      <c r="D45" s="27"/>
      <c r="E45" s="27"/>
      <c r="F45" s="69"/>
      <c r="G45" s="99"/>
    </row>
    <row r="46" spans="1:7">
      <c r="A46" s="29"/>
      <c r="B46" s="26"/>
      <c r="C46" s="26"/>
      <c r="D46" s="26"/>
      <c r="E46" s="26"/>
      <c r="F46" s="68"/>
      <c r="G46" s="97"/>
    </row>
    <row r="47" spans="1:7">
      <c r="A47" s="30"/>
      <c r="B47" s="31"/>
      <c r="C47" s="31"/>
      <c r="D47" s="31"/>
      <c r="E47" s="31"/>
      <c r="F47" s="31"/>
      <c r="G47" s="31"/>
    </row>
    <row r="48" spans="1:7">
      <c r="A48" s="85"/>
      <c r="B48" s="38"/>
      <c r="C48" s="38"/>
      <c r="D48" s="36"/>
      <c r="E48" s="31"/>
      <c r="F48" s="36"/>
      <c r="G48" s="31"/>
    </row>
    <row r="49" spans="1:4" ht="27.75" customHeight="1">
      <c r="A49" s="86"/>
      <c r="B49" s="40"/>
      <c r="C49" s="40"/>
      <c r="D49" s="2"/>
    </row>
    <row r="50" spans="1:4">
      <c r="A50" s="36"/>
      <c r="B50" s="36"/>
      <c r="C50" s="36"/>
      <c r="D50" s="36"/>
    </row>
    <row r="51" spans="1:4">
      <c r="A51" s="36"/>
      <c r="B51" s="36"/>
      <c r="C51" s="36"/>
      <c r="D51" s="36"/>
    </row>
  </sheetData>
  <mergeCells count="3">
    <mergeCell ref="A3:F5"/>
    <mergeCell ref="A30:F32"/>
    <mergeCell ref="I3:N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K52"/>
  <sheetViews>
    <sheetView workbookViewId="0">
      <selection sqref="A1:J50"/>
    </sheetView>
  </sheetViews>
  <sheetFormatPr defaultRowHeight="12.75"/>
  <cols>
    <col min="1" max="1" width="6.5703125" customWidth="1"/>
    <col min="2" max="2" width="22.42578125" customWidth="1"/>
    <col min="3" max="3" width="12.140625" customWidth="1"/>
    <col min="6" max="6" width="10.140625" customWidth="1"/>
    <col min="10" max="10" width="13.42578125" customWidth="1"/>
    <col min="11" max="11" width="0" hidden="1" customWidth="1"/>
  </cols>
  <sheetData>
    <row r="1" spans="1:11">
      <c r="K1" s="2"/>
    </row>
    <row r="2" spans="1:11">
      <c r="K2" s="2"/>
    </row>
    <row r="3" spans="1:11">
      <c r="B3" s="2"/>
      <c r="C3" s="2"/>
      <c r="D3" s="2"/>
      <c r="E3" s="2" t="s">
        <v>104</v>
      </c>
      <c r="F3" s="2"/>
      <c r="G3" s="2"/>
      <c r="H3" s="2"/>
    </row>
    <row r="4" spans="1:11" s="2" customFormat="1">
      <c r="B4" s="2" t="s">
        <v>293</v>
      </c>
    </row>
    <row r="6" spans="1:11" ht="51">
      <c r="A6" s="29" t="s">
        <v>144</v>
      </c>
      <c r="B6" s="29" t="s">
        <v>170</v>
      </c>
      <c r="C6" s="29" t="s">
        <v>171</v>
      </c>
      <c r="D6" s="29" t="s">
        <v>172</v>
      </c>
      <c r="E6" s="29" t="s">
        <v>106</v>
      </c>
      <c r="F6" s="29" t="s">
        <v>173</v>
      </c>
      <c r="G6" s="29" t="s">
        <v>8</v>
      </c>
      <c r="H6" s="29" t="s">
        <v>174</v>
      </c>
      <c r="I6" s="29" t="s">
        <v>175</v>
      </c>
      <c r="J6" s="29" t="s">
        <v>12</v>
      </c>
      <c r="K6" s="25"/>
    </row>
    <row r="7" spans="1:11" ht="25.5">
      <c r="A7" s="24">
        <v>1</v>
      </c>
      <c r="B7" s="184" t="s">
        <v>87</v>
      </c>
      <c r="C7" s="13" t="s">
        <v>52</v>
      </c>
      <c r="D7" s="24">
        <v>65302</v>
      </c>
      <c r="E7" s="24">
        <v>1</v>
      </c>
      <c r="F7" s="24">
        <v>165.5</v>
      </c>
      <c r="G7" s="24">
        <v>50</v>
      </c>
      <c r="H7" s="24">
        <v>8</v>
      </c>
      <c r="I7" s="24">
        <v>15.2</v>
      </c>
      <c r="J7" s="64">
        <f>((D7*E7/F7*50)/100)*H7*I7</f>
        <v>23990.100302114803</v>
      </c>
      <c r="K7" s="24"/>
    </row>
    <row r="8" spans="1:11" ht="25.5">
      <c r="A8" s="24">
        <v>2</v>
      </c>
      <c r="B8" s="179" t="s">
        <v>108</v>
      </c>
      <c r="C8" s="8" t="s">
        <v>52</v>
      </c>
      <c r="D8" s="24">
        <v>63178</v>
      </c>
      <c r="E8" s="24">
        <v>1</v>
      </c>
      <c r="F8" s="24">
        <v>165.5</v>
      </c>
      <c r="G8" s="24">
        <v>50</v>
      </c>
      <c r="H8" s="24">
        <v>8</v>
      </c>
      <c r="I8" s="24">
        <v>15.2</v>
      </c>
      <c r="J8" s="64">
        <f t="shared" ref="J8:J15" si="0">((D8*E8/F8*50)/100)*H8*I8</f>
        <v>23209.803021148036</v>
      </c>
      <c r="K8" s="24"/>
    </row>
    <row r="9" spans="1:11" s="57" customFormat="1" ht="24.75" customHeight="1">
      <c r="A9" s="195">
        <v>3</v>
      </c>
      <c r="B9" s="9" t="s">
        <v>286</v>
      </c>
      <c r="C9" s="8" t="s">
        <v>57</v>
      </c>
      <c r="D9" s="195">
        <v>52737</v>
      </c>
      <c r="E9" s="195">
        <v>1</v>
      </c>
      <c r="F9" s="195">
        <v>165.5</v>
      </c>
      <c r="G9" s="195">
        <v>50</v>
      </c>
      <c r="H9" s="195">
        <v>8</v>
      </c>
      <c r="I9" s="195">
        <v>15.2</v>
      </c>
      <c r="J9" s="64">
        <f t="shared" si="0"/>
        <v>19374.076132930513</v>
      </c>
      <c r="K9" s="195"/>
    </row>
    <row r="10" spans="1:11" ht="30" customHeight="1">
      <c r="A10" s="24">
        <v>4</v>
      </c>
      <c r="B10" s="8" t="s">
        <v>200</v>
      </c>
      <c r="C10" s="8" t="s">
        <v>57</v>
      </c>
      <c r="D10" s="24">
        <v>54507</v>
      </c>
      <c r="E10" s="24">
        <v>1</v>
      </c>
      <c r="F10" s="24">
        <v>165.5</v>
      </c>
      <c r="G10" s="24">
        <v>50</v>
      </c>
      <c r="H10" s="24">
        <v>8</v>
      </c>
      <c r="I10" s="24">
        <v>15.2</v>
      </c>
      <c r="J10" s="64">
        <f t="shared" si="0"/>
        <v>20024.323867069485</v>
      </c>
      <c r="K10" s="24"/>
    </row>
    <row r="11" spans="1:11" ht="25.5">
      <c r="A11" s="24">
        <v>5</v>
      </c>
      <c r="B11" s="8" t="s">
        <v>90</v>
      </c>
      <c r="C11" s="8" t="s">
        <v>57</v>
      </c>
      <c r="D11" s="24">
        <v>57515</v>
      </c>
      <c r="E11" s="24">
        <v>1</v>
      </c>
      <c r="F11" s="24">
        <v>165.5</v>
      </c>
      <c r="G11" s="24">
        <v>50</v>
      </c>
      <c r="H11" s="24">
        <v>8</v>
      </c>
      <c r="I11" s="24">
        <v>15.2</v>
      </c>
      <c r="J11" s="64">
        <f t="shared" si="0"/>
        <v>21129.377643504529</v>
      </c>
      <c r="K11" s="24"/>
    </row>
    <row r="12" spans="1:11" ht="24.75" customHeight="1">
      <c r="A12" s="24">
        <v>6</v>
      </c>
      <c r="B12" s="3" t="s">
        <v>89</v>
      </c>
      <c r="C12" s="3" t="s">
        <v>57</v>
      </c>
      <c r="D12" s="24">
        <v>58223</v>
      </c>
      <c r="E12" s="24">
        <v>1</v>
      </c>
      <c r="F12" s="24">
        <v>165.5</v>
      </c>
      <c r="G12" s="24">
        <v>50</v>
      </c>
      <c r="H12" s="24">
        <v>8</v>
      </c>
      <c r="I12" s="24">
        <v>15.2</v>
      </c>
      <c r="J12" s="64">
        <f t="shared" si="0"/>
        <v>21389.476737160119</v>
      </c>
      <c r="K12" s="24"/>
    </row>
    <row r="13" spans="1:11">
      <c r="A13" s="24">
        <v>7</v>
      </c>
      <c r="B13" s="8" t="s">
        <v>177</v>
      </c>
      <c r="C13" s="24" t="s">
        <v>93</v>
      </c>
      <c r="D13" s="24">
        <v>49021</v>
      </c>
      <c r="E13" s="24">
        <v>3</v>
      </c>
      <c r="F13" s="24">
        <v>165.5</v>
      </c>
      <c r="G13" s="24">
        <v>50</v>
      </c>
      <c r="H13" s="24">
        <v>8</v>
      </c>
      <c r="I13" s="24">
        <v>10.14</v>
      </c>
      <c r="J13" s="64">
        <f t="shared" si="0"/>
        <v>36041.542477341391</v>
      </c>
      <c r="K13" s="24"/>
    </row>
    <row r="14" spans="1:11" s="57" customFormat="1">
      <c r="A14" s="24">
        <v>8</v>
      </c>
      <c r="B14" s="4" t="s">
        <v>176</v>
      </c>
      <c r="C14" s="10" t="s">
        <v>65</v>
      </c>
      <c r="D14" s="10">
        <v>50259</v>
      </c>
      <c r="E14" s="10">
        <v>4</v>
      </c>
      <c r="F14" s="24">
        <v>149</v>
      </c>
      <c r="G14" s="10">
        <v>50</v>
      </c>
      <c r="H14" s="10">
        <v>8</v>
      </c>
      <c r="I14" s="10">
        <v>7.6</v>
      </c>
      <c r="J14" s="64">
        <f>((D14*E14/F14*50)/100)*H14*I14</f>
        <v>41016.740939597308</v>
      </c>
      <c r="K14" s="10"/>
    </row>
    <row r="15" spans="1:11" s="2" customFormat="1">
      <c r="A15" s="24">
        <v>9</v>
      </c>
      <c r="B15" s="8" t="s">
        <v>178</v>
      </c>
      <c r="C15" s="24" t="s">
        <v>93</v>
      </c>
      <c r="D15" s="24">
        <v>49021</v>
      </c>
      <c r="E15" s="52">
        <v>3</v>
      </c>
      <c r="F15" s="24">
        <v>165.5</v>
      </c>
      <c r="G15" s="52">
        <v>50</v>
      </c>
      <c r="H15" s="52">
        <v>8</v>
      </c>
      <c r="I15" s="52">
        <v>10.14</v>
      </c>
      <c r="J15" s="64">
        <f t="shared" si="0"/>
        <v>36041.542477341391</v>
      </c>
      <c r="K15" s="26"/>
    </row>
    <row r="16" spans="1:11">
      <c r="A16" s="26"/>
      <c r="B16" s="53" t="s">
        <v>37</v>
      </c>
      <c r="C16" s="26"/>
      <c r="D16" s="26" t="s">
        <v>195</v>
      </c>
      <c r="E16" s="26" t="s">
        <v>195</v>
      </c>
      <c r="F16" s="26" t="s">
        <v>195</v>
      </c>
      <c r="G16" s="26" t="s">
        <v>195</v>
      </c>
      <c r="H16" s="26" t="s">
        <v>195</v>
      </c>
      <c r="I16" s="26" t="s">
        <v>195</v>
      </c>
      <c r="J16" s="72">
        <f>(J7+J8+J9+J11+J12+J13+J14+J15+J117+J10)</f>
        <v>242216.98359820759</v>
      </c>
      <c r="K16" s="26"/>
    </row>
    <row r="17" spans="1:11" s="2" customFormat="1" hidden="1">
      <c r="A17" s="26"/>
      <c r="B17" s="9"/>
      <c r="C17" s="52"/>
      <c r="D17" s="26"/>
      <c r="E17" s="26"/>
      <c r="F17" s="26"/>
      <c r="G17" s="26"/>
      <c r="H17" s="26"/>
      <c r="I17" s="26"/>
      <c r="J17" s="26"/>
      <c r="K17" s="26"/>
    </row>
    <row r="18" spans="1:11" hidden="1">
      <c r="A18" s="24"/>
      <c r="D18" s="24"/>
      <c r="E18" s="24"/>
      <c r="F18" s="24"/>
      <c r="G18" s="24"/>
      <c r="H18" s="24"/>
      <c r="I18" s="24"/>
      <c r="J18" s="24"/>
      <c r="K18" s="24"/>
    </row>
    <row r="19" spans="1:11" hidden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hidden="1">
      <c r="A20" s="24" t="s">
        <v>179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1" hidden="1">
      <c r="A21" s="24" t="s">
        <v>180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pans="1:11" hidden="1">
      <c r="A22" s="24" t="s">
        <v>181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</row>
    <row r="23" spans="1:11" hidden="1">
      <c r="A23" s="24" t="s">
        <v>182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1" hidden="1">
      <c r="A24" s="24" t="s">
        <v>183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1" hidden="1">
      <c r="A25" s="24" t="s">
        <v>184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hidden="1">
      <c r="A26" s="24" t="s">
        <v>185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7" spans="1:11" hidden="1">
      <c r="A27" s="24" t="s">
        <v>186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1" hidden="1">
      <c r="A28" s="24" t="s">
        <v>187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</row>
    <row r="29" spans="1:11" hidden="1">
      <c r="A29" s="24" t="s">
        <v>188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s="2" customFormat="1" hidden="1">
      <c r="A30" s="24" t="s">
        <v>189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spans="1:11" hidden="1">
      <c r="A31" s="24" t="s">
        <v>190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1" s="2" customFormat="1" hidden="1">
      <c r="F32" s="50">
        <v>153</v>
      </c>
      <c r="I32" s="50">
        <v>31</v>
      </c>
    </row>
    <row r="33" spans="1:11" ht="51" hidden="1">
      <c r="A33" s="29" t="s">
        <v>144</v>
      </c>
      <c r="B33" s="29" t="s">
        <v>170</v>
      </c>
      <c r="C33" s="29" t="s">
        <v>171</v>
      </c>
      <c r="D33" s="29" t="s">
        <v>172</v>
      </c>
      <c r="E33" s="29" t="s">
        <v>106</v>
      </c>
      <c r="F33" s="29" t="s">
        <v>173</v>
      </c>
      <c r="G33" s="29" t="s">
        <v>8</v>
      </c>
      <c r="H33" s="29" t="s">
        <v>174</v>
      </c>
      <c r="I33" s="29" t="s">
        <v>175</v>
      </c>
      <c r="J33" s="29" t="s">
        <v>12</v>
      </c>
      <c r="K33" s="25"/>
    </row>
    <row r="34" spans="1:11" ht="25.5" hidden="1">
      <c r="A34" s="24">
        <v>1</v>
      </c>
      <c r="B34" s="14" t="s">
        <v>85</v>
      </c>
      <c r="C34" s="13" t="s">
        <v>52</v>
      </c>
      <c r="D34" s="24">
        <v>53533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/>
      <c r="K34" s="24"/>
    </row>
    <row r="35" spans="1:11" ht="25.5" hidden="1">
      <c r="A35" s="24">
        <v>2</v>
      </c>
      <c r="B35" s="14" t="s">
        <v>86</v>
      </c>
      <c r="C35" s="13" t="s">
        <v>52</v>
      </c>
      <c r="D35" s="24">
        <v>53533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/>
      <c r="K35" s="24"/>
    </row>
    <row r="36" spans="1:11" ht="23.25" hidden="1" customHeight="1">
      <c r="A36" s="24">
        <v>3</v>
      </c>
      <c r="B36" s="14" t="s">
        <v>87</v>
      </c>
      <c r="C36" s="13" t="s">
        <v>52</v>
      </c>
      <c r="D36" s="24">
        <v>51764</v>
      </c>
      <c r="E36" s="24">
        <v>1</v>
      </c>
      <c r="F36" s="24">
        <f>F32</f>
        <v>153</v>
      </c>
      <c r="G36" s="24">
        <v>50</v>
      </c>
      <c r="H36" s="24">
        <v>8</v>
      </c>
      <c r="I36" s="24">
        <f>I32/2</f>
        <v>15.5</v>
      </c>
      <c r="J36" s="24">
        <f t="shared" ref="J36:J44" si="1">((D36*E36/F36*50)/100)*H36*I36</f>
        <v>20976.261437908495</v>
      </c>
      <c r="K36" s="24"/>
    </row>
    <row r="37" spans="1:11" s="2" customFormat="1" ht="25.5" hidden="1" customHeight="1">
      <c r="A37" s="24">
        <v>4</v>
      </c>
      <c r="B37" s="7" t="s">
        <v>108</v>
      </c>
      <c r="C37" s="8" t="s">
        <v>52</v>
      </c>
      <c r="D37" s="24">
        <v>44685</v>
      </c>
      <c r="E37" s="24">
        <v>1</v>
      </c>
      <c r="F37" s="24">
        <f>F32</f>
        <v>153</v>
      </c>
      <c r="G37" s="24">
        <v>50</v>
      </c>
      <c r="H37" s="24">
        <v>8</v>
      </c>
      <c r="I37" s="24">
        <f>I32/2</f>
        <v>15.5</v>
      </c>
      <c r="J37" s="24">
        <f t="shared" si="1"/>
        <v>18107.647058823528</v>
      </c>
      <c r="K37" s="24"/>
    </row>
    <row r="38" spans="1:11" ht="25.5" hidden="1">
      <c r="A38" s="24">
        <v>5</v>
      </c>
      <c r="B38" s="9" t="s">
        <v>117</v>
      </c>
      <c r="C38" s="8" t="s">
        <v>57</v>
      </c>
      <c r="D38" s="24">
        <v>29023</v>
      </c>
      <c r="E38" s="24">
        <v>1</v>
      </c>
      <c r="F38" s="24">
        <f>F32</f>
        <v>153</v>
      </c>
      <c r="G38" s="24">
        <v>50</v>
      </c>
      <c r="H38" s="24">
        <v>8</v>
      </c>
      <c r="I38" s="24">
        <f>I32/2</f>
        <v>15.5</v>
      </c>
      <c r="J38" s="24">
        <f t="shared" si="1"/>
        <v>11760.954248366013</v>
      </c>
      <c r="K38" s="24"/>
    </row>
    <row r="39" spans="1:11" ht="25.5" hidden="1">
      <c r="A39" s="24">
        <v>6</v>
      </c>
      <c r="B39" s="8" t="s">
        <v>94</v>
      </c>
      <c r="C39" s="8" t="s">
        <v>57</v>
      </c>
      <c r="D39" s="24">
        <v>30085</v>
      </c>
      <c r="E39" s="24">
        <v>1</v>
      </c>
      <c r="F39" s="24">
        <f>F32</f>
        <v>153</v>
      </c>
      <c r="G39" s="24">
        <v>50</v>
      </c>
      <c r="H39" s="24">
        <v>8</v>
      </c>
      <c r="I39" s="24">
        <f>I32/2</f>
        <v>15.5</v>
      </c>
      <c r="J39" s="24">
        <f t="shared" si="1"/>
        <v>12191.307189542484</v>
      </c>
      <c r="K39" s="24"/>
    </row>
    <row r="40" spans="1:11" ht="25.5" hidden="1">
      <c r="A40" s="24">
        <v>7</v>
      </c>
      <c r="B40" s="8" t="s">
        <v>90</v>
      </c>
      <c r="C40" s="8" t="s">
        <v>57</v>
      </c>
      <c r="D40" s="24">
        <v>29731</v>
      </c>
      <c r="E40" s="24">
        <v>1</v>
      </c>
      <c r="F40" s="24">
        <f>F32</f>
        <v>153</v>
      </c>
      <c r="G40" s="24">
        <v>50</v>
      </c>
      <c r="H40" s="24">
        <v>8</v>
      </c>
      <c r="I40" s="24">
        <f>I32/2</f>
        <v>15.5</v>
      </c>
      <c r="J40" s="24">
        <f t="shared" si="1"/>
        <v>12047.856209150325</v>
      </c>
      <c r="K40" s="24"/>
    </row>
    <row r="41" spans="1:11" ht="28.5" hidden="1" customHeight="1">
      <c r="A41" s="24">
        <v>8</v>
      </c>
      <c r="B41" s="3" t="s">
        <v>88</v>
      </c>
      <c r="C41" s="3" t="s">
        <v>57</v>
      </c>
      <c r="D41" s="24">
        <v>25307</v>
      </c>
      <c r="E41" s="24">
        <v>1</v>
      </c>
      <c r="F41" s="24">
        <f>F32</f>
        <v>153</v>
      </c>
      <c r="G41" s="24">
        <v>50</v>
      </c>
      <c r="H41" s="24">
        <v>8</v>
      </c>
      <c r="I41" s="24">
        <f>I32/2</f>
        <v>15.5</v>
      </c>
      <c r="J41" s="24">
        <f t="shared" si="1"/>
        <v>10255.124183006537</v>
      </c>
      <c r="K41" s="24"/>
    </row>
    <row r="42" spans="1:11" s="2" customFormat="1" ht="26.25" hidden="1" customHeight="1">
      <c r="A42" s="24">
        <v>9</v>
      </c>
      <c r="B42" s="9" t="s">
        <v>177</v>
      </c>
      <c r="C42" s="24" t="s">
        <v>93</v>
      </c>
      <c r="D42" s="24">
        <v>24599</v>
      </c>
      <c r="E42" s="24">
        <v>3</v>
      </c>
      <c r="F42" s="24">
        <f>F32</f>
        <v>153</v>
      </c>
      <c r="G42" s="24">
        <v>50</v>
      </c>
      <c r="H42" s="24">
        <v>8</v>
      </c>
      <c r="I42" s="24">
        <f>I32/3</f>
        <v>10.333333333333334</v>
      </c>
      <c r="J42" s="24">
        <f t="shared" si="1"/>
        <v>19936.444444444442</v>
      </c>
      <c r="K42" s="24"/>
    </row>
    <row r="43" spans="1:11" hidden="1">
      <c r="A43" s="54">
        <v>10</v>
      </c>
      <c r="B43" s="54" t="s">
        <v>176</v>
      </c>
      <c r="C43" s="54" t="s">
        <v>65</v>
      </c>
      <c r="D43" s="54">
        <v>28138</v>
      </c>
      <c r="E43" s="54">
        <v>0</v>
      </c>
      <c r="F43" s="24" t="str">
        <f>F33</f>
        <v>ср.годовое кол-во часов</v>
      </c>
      <c r="G43" s="54">
        <v>50</v>
      </c>
      <c r="H43" s="54">
        <v>8</v>
      </c>
      <c r="I43" s="54">
        <v>7.6</v>
      </c>
      <c r="J43" s="54" t="e">
        <f t="shared" si="1"/>
        <v>#VALUE!</v>
      </c>
      <c r="K43" s="54"/>
    </row>
    <row r="44" spans="1:11" hidden="1">
      <c r="A44" s="24">
        <v>11</v>
      </c>
      <c r="B44" s="9" t="s">
        <v>178</v>
      </c>
      <c r="C44" s="24" t="s">
        <v>93</v>
      </c>
      <c r="D44" s="24">
        <v>24599</v>
      </c>
      <c r="E44" s="52">
        <v>2</v>
      </c>
      <c r="F44" s="24">
        <f>F32</f>
        <v>153</v>
      </c>
      <c r="G44" s="52">
        <v>50</v>
      </c>
      <c r="H44" s="52">
        <v>8</v>
      </c>
      <c r="I44" s="24">
        <f>I32/2</f>
        <v>15.5</v>
      </c>
      <c r="J44" s="24">
        <f t="shared" si="1"/>
        <v>19936.444444444445</v>
      </c>
      <c r="K44" s="26"/>
    </row>
    <row r="45" spans="1:11" hidden="1">
      <c r="A45" s="26"/>
      <c r="B45" s="53" t="s">
        <v>37</v>
      </c>
      <c r="C45" s="26"/>
      <c r="D45" s="26"/>
      <c r="E45" s="26"/>
      <c r="F45" s="26"/>
      <c r="G45" s="26"/>
      <c r="H45" s="26"/>
      <c r="I45" s="26"/>
      <c r="J45" s="24">
        <f>J36+J37+J38+J39+J40+J41+J42+J44</f>
        <v>125212.03921568627</v>
      </c>
      <c r="K45" s="26"/>
    </row>
    <row r="46" spans="1:11" hidden="1">
      <c r="A46" s="26"/>
      <c r="B46" s="9"/>
      <c r="C46" s="52"/>
      <c r="D46" s="26"/>
      <c r="E46" s="26"/>
      <c r="F46" s="26"/>
      <c r="G46" s="26"/>
      <c r="H46" s="26"/>
      <c r="I46" s="26"/>
      <c r="J46" s="26"/>
      <c r="K46" s="26"/>
    </row>
    <row r="49" spans="2:6">
      <c r="B49" s="37" t="s">
        <v>36</v>
      </c>
      <c r="C49" s="38"/>
      <c r="D49" s="38"/>
      <c r="E49" s="36" t="s">
        <v>221</v>
      </c>
      <c r="F49" s="31"/>
    </row>
    <row r="50" spans="2:6" ht="47.25" customHeight="1">
      <c r="B50" s="39" t="s">
        <v>119</v>
      </c>
      <c r="C50" s="40"/>
      <c r="D50" s="40"/>
      <c r="E50" s="2" t="s">
        <v>143</v>
      </c>
    </row>
    <row r="51" spans="2:6">
      <c r="B51" s="36"/>
      <c r="C51" s="36"/>
      <c r="D51" s="36"/>
      <c r="E51" s="36"/>
    </row>
    <row r="52" spans="2:6">
      <c r="B52" s="36"/>
      <c r="C52" s="36"/>
      <c r="D52" s="36"/>
      <c r="E52" s="36"/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39997558519241921"/>
    <pageSetUpPr fitToPage="1"/>
  </sheetPr>
  <dimension ref="A3:L50"/>
  <sheetViews>
    <sheetView workbookViewId="0">
      <selection activeCell="J20" sqref="J20"/>
    </sheetView>
  </sheetViews>
  <sheetFormatPr defaultRowHeight="12.75"/>
  <cols>
    <col min="1" max="2" width="18.28515625" customWidth="1"/>
    <col min="3" max="3" width="13.28515625" customWidth="1"/>
    <col min="4" max="4" width="10.7109375" customWidth="1"/>
    <col min="5" max="5" width="7.28515625" customWidth="1"/>
    <col min="6" max="6" width="9.7109375" customWidth="1"/>
    <col min="12" max="12" width="10.7109375" bestFit="1" customWidth="1"/>
  </cols>
  <sheetData>
    <row r="3" spans="1:10">
      <c r="A3" s="17"/>
      <c r="B3" s="41"/>
      <c r="C3" s="41"/>
      <c r="D3" s="41" t="s">
        <v>120</v>
      </c>
      <c r="E3" s="41"/>
      <c r="F3" s="41"/>
      <c r="G3" s="41"/>
      <c r="H3" s="41"/>
      <c r="I3" s="17"/>
      <c r="J3" s="17"/>
    </row>
    <row r="4" spans="1:10">
      <c r="A4" s="17"/>
      <c r="B4" s="41" t="s">
        <v>121</v>
      </c>
      <c r="C4" s="41"/>
      <c r="D4" s="41"/>
      <c r="E4" s="41"/>
      <c r="F4" s="41"/>
      <c r="G4" s="41"/>
      <c r="H4" s="41"/>
      <c r="I4" s="17"/>
      <c r="J4" s="17"/>
    </row>
    <row r="5" spans="1:10">
      <c r="A5" s="17"/>
      <c r="B5" s="41"/>
      <c r="C5" s="41"/>
      <c r="D5" s="41"/>
      <c r="E5" s="41"/>
      <c r="F5" s="41"/>
      <c r="G5" s="41"/>
      <c r="H5" s="41"/>
      <c r="I5" s="17"/>
      <c r="J5" s="17"/>
    </row>
    <row r="6" spans="1:10">
      <c r="A6" s="17"/>
      <c r="B6" s="41"/>
      <c r="C6" s="41"/>
      <c r="D6" s="41" t="s">
        <v>336</v>
      </c>
      <c r="E6" s="41"/>
      <c r="F6" s="41"/>
      <c r="G6" s="41"/>
      <c r="H6" s="41"/>
      <c r="I6" s="17"/>
      <c r="J6" s="17"/>
    </row>
    <row r="7" spans="1:10">
      <c r="A7" s="17"/>
      <c r="B7" s="41"/>
      <c r="C7" s="41" t="s">
        <v>294</v>
      </c>
      <c r="D7" s="41"/>
      <c r="E7" s="41"/>
      <c r="F7" s="41"/>
      <c r="G7" s="41"/>
      <c r="H7" s="41"/>
      <c r="I7" s="17"/>
      <c r="J7" s="17"/>
    </row>
    <row r="8" spans="1:10">
      <c r="A8" s="17"/>
      <c r="B8" s="41"/>
      <c r="C8" s="41"/>
      <c r="D8" s="41"/>
      <c r="E8" s="41"/>
      <c r="F8" s="41"/>
      <c r="G8" s="41"/>
      <c r="H8" s="41"/>
      <c r="I8" s="17"/>
      <c r="J8" s="17"/>
    </row>
    <row r="9" spans="1:10">
      <c r="A9" s="17"/>
      <c r="B9" s="41"/>
      <c r="C9" s="41" t="s">
        <v>122</v>
      </c>
      <c r="D9" s="41"/>
      <c r="E9" s="41"/>
      <c r="F9" s="41"/>
      <c r="G9" s="41"/>
      <c r="H9" s="41"/>
      <c r="I9" s="17"/>
      <c r="J9" s="17"/>
    </row>
    <row r="10" spans="1:10">
      <c r="A10" s="17"/>
      <c r="B10" s="17"/>
      <c r="C10" s="17"/>
      <c r="D10" s="17"/>
      <c r="E10" s="17"/>
      <c r="F10" s="17"/>
      <c r="G10" s="17"/>
      <c r="H10" s="17"/>
      <c r="I10" s="17"/>
      <c r="J10" s="17"/>
    </row>
    <row r="11" spans="1:10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51">
      <c r="A12" s="147"/>
      <c r="B12" s="148" t="s">
        <v>123</v>
      </c>
      <c r="C12" s="397" t="s">
        <v>124</v>
      </c>
      <c r="D12" s="398"/>
      <c r="E12" s="149" t="s">
        <v>172</v>
      </c>
      <c r="F12" s="149" t="s">
        <v>211</v>
      </c>
      <c r="G12" s="148" t="s">
        <v>125</v>
      </c>
      <c r="H12" s="148" t="s">
        <v>212</v>
      </c>
      <c r="I12" s="148" t="s">
        <v>205</v>
      </c>
      <c r="J12" s="148" t="s">
        <v>9</v>
      </c>
    </row>
    <row r="13" spans="1:10" s="123" customFormat="1">
      <c r="A13" s="142"/>
      <c r="B13" s="150" t="s">
        <v>84</v>
      </c>
      <c r="C13" s="388" t="s">
        <v>126</v>
      </c>
      <c r="D13" s="389"/>
      <c r="E13" s="151">
        <v>51144</v>
      </c>
      <c r="F13" s="151">
        <v>165.5</v>
      </c>
      <c r="G13" s="199">
        <f>E13/F13</f>
        <v>309.02719033232626</v>
      </c>
      <c r="H13" s="70">
        <v>11</v>
      </c>
      <c r="I13" s="70">
        <v>14</v>
      </c>
      <c r="J13" s="152">
        <f>(G13*H13*I13)*0.5</f>
        <v>23795.093655589124</v>
      </c>
    </row>
    <row r="14" spans="1:10" s="123" customFormat="1" ht="13.5" thickBot="1">
      <c r="A14" s="142"/>
      <c r="B14" s="220">
        <v>2</v>
      </c>
      <c r="C14" s="392" t="s">
        <v>127</v>
      </c>
      <c r="D14" s="393"/>
      <c r="E14" s="153">
        <v>49729</v>
      </c>
      <c r="F14" s="153">
        <v>165.5</v>
      </c>
      <c r="G14" s="221">
        <f>E14/F14</f>
        <v>300.47734138972811</v>
      </c>
      <c r="H14" s="220">
        <v>11</v>
      </c>
      <c r="I14" s="220">
        <v>14</v>
      </c>
      <c r="J14" s="222">
        <f>(G14*H14*I14)*0.5</f>
        <v>23136.755287009066</v>
      </c>
    </row>
    <row r="15" spans="1:10" ht="13.5" thickBot="1">
      <c r="A15" s="142"/>
      <c r="B15" s="224"/>
      <c r="C15" s="384" t="s">
        <v>128</v>
      </c>
      <c r="D15" s="385"/>
      <c r="E15" s="219"/>
      <c r="F15" s="219"/>
      <c r="G15" s="65"/>
      <c r="H15" s="218">
        <f>H13+H14</f>
        <v>22</v>
      </c>
      <c r="I15" s="154"/>
      <c r="J15" s="226">
        <f>SUM(J13:J14)</f>
        <v>46931.84894259819</v>
      </c>
    </row>
    <row r="16" spans="1:10" s="57" customFormat="1" ht="13.5" thickBot="1">
      <c r="A16" s="142"/>
      <c r="B16" s="197">
        <v>10</v>
      </c>
      <c r="C16" s="382" t="s">
        <v>129</v>
      </c>
      <c r="D16" s="383"/>
      <c r="E16" s="297">
        <v>75132</v>
      </c>
      <c r="F16" s="297">
        <v>102.5</v>
      </c>
      <c r="G16" s="298">
        <f>E16/F16</f>
        <v>732.99512195121952</v>
      </c>
      <c r="H16" s="197">
        <v>39</v>
      </c>
      <c r="I16" s="197">
        <v>14</v>
      </c>
      <c r="J16" s="299">
        <f>(G16*H16*I16)*0.5</f>
        <v>200107.66829268294</v>
      </c>
    </row>
    <row r="17" spans="1:11" s="57" customFormat="1" ht="13.5" thickBot="1">
      <c r="A17" s="142"/>
      <c r="B17" s="224"/>
      <c r="C17" s="384" t="s">
        <v>128</v>
      </c>
      <c r="D17" s="385"/>
      <c r="E17" s="219"/>
      <c r="F17" s="219"/>
      <c r="G17" s="225"/>
      <c r="H17" s="218">
        <f>SUM(H16:H16)</f>
        <v>39</v>
      </c>
      <c r="I17" s="154"/>
      <c r="J17" s="226">
        <f>SUM(J16:J16)</f>
        <v>200107.66829268294</v>
      </c>
    </row>
    <row r="18" spans="1:11" s="57" customFormat="1">
      <c r="A18" s="142"/>
      <c r="B18" s="71">
        <v>1</v>
      </c>
      <c r="C18" s="386" t="s">
        <v>213</v>
      </c>
      <c r="D18" s="387"/>
      <c r="E18" s="155">
        <v>49021</v>
      </c>
      <c r="F18" s="155">
        <v>165.5</v>
      </c>
      <c r="G18" s="223">
        <f>(E18/F18)*2</f>
        <v>592.39879154078551</v>
      </c>
      <c r="H18" s="71">
        <v>24</v>
      </c>
      <c r="I18" s="71">
        <v>14</v>
      </c>
      <c r="J18" s="156">
        <f>(G18*H18*I18)*1.5</f>
        <v>298568.9909365559</v>
      </c>
    </row>
    <row r="19" spans="1:11" s="57" customFormat="1">
      <c r="A19" s="142"/>
      <c r="B19" s="70">
        <v>1</v>
      </c>
      <c r="C19" s="390" t="s">
        <v>214</v>
      </c>
      <c r="D19" s="391"/>
      <c r="E19" s="155">
        <v>49021</v>
      </c>
      <c r="F19" s="155">
        <v>165.5</v>
      </c>
      <c r="G19" s="199">
        <f>(E19/F19)*2</f>
        <v>592.39879154078551</v>
      </c>
      <c r="H19" s="71">
        <v>24</v>
      </c>
      <c r="I19" s="71">
        <v>14</v>
      </c>
      <c r="J19" s="156">
        <f>(G19*H19*I19)*1.5</f>
        <v>298568.9909365559</v>
      </c>
    </row>
    <row r="20" spans="1:11" s="57" customFormat="1">
      <c r="A20" s="142"/>
      <c r="B20" s="70">
        <v>3</v>
      </c>
      <c r="C20" s="388" t="s">
        <v>130</v>
      </c>
      <c r="D20" s="389"/>
      <c r="E20" s="151">
        <v>50259</v>
      </c>
      <c r="F20" s="151">
        <v>149</v>
      </c>
      <c r="G20" s="199">
        <f>(E20/F20)*2</f>
        <v>674.6174496644295</v>
      </c>
      <c r="H20" s="70">
        <v>24</v>
      </c>
      <c r="I20" s="71">
        <v>9</v>
      </c>
      <c r="J20" s="156">
        <f>(G20*H20*I20)*1.5</f>
        <v>218576.05369127518</v>
      </c>
      <c r="K20" s="197"/>
    </row>
    <row r="21" spans="1:11" s="123" customFormat="1">
      <c r="A21" s="142"/>
      <c r="B21" s="70">
        <v>11</v>
      </c>
      <c r="C21" s="388" t="s">
        <v>131</v>
      </c>
      <c r="D21" s="389"/>
      <c r="E21" s="151">
        <v>65125</v>
      </c>
      <c r="F21" s="151">
        <v>165.5</v>
      </c>
      <c r="G21" s="199">
        <f>(E21/F21)</f>
        <v>393.50453172205437</v>
      </c>
      <c r="H21" s="70">
        <v>24</v>
      </c>
      <c r="I21" s="71">
        <v>14</v>
      </c>
      <c r="J21" s="156">
        <f>(G21*H21*I21)*0.5</f>
        <v>66108.76132930514</v>
      </c>
    </row>
    <row r="22" spans="1:11" s="57" customFormat="1" ht="13.5" thickBot="1">
      <c r="A22" s="142"/>
      <c r="B22" s="220">
        <v>14</v>
      </c>
      <c r="C22" s="392" t="s">
        <v>132</v>
      </c>
      <c r="D22" s="393"/>
      <c r="E22" s="220">
        <v>55746</v>
      </c>
      <c r="F22" s="220">
        <v>165.5</v>
      </c>
      <c r="G22" s="221">
        <f>(E22/F22)</f>
        <v>336.83383685800607</v>
      </c>
      <c r="H22" s="220">
        <v>28</v>
      </c>
      <c r="I22" s="220">
        <v>14</v>
      </c>
      <c r="J22" s="222">
        <f>(G22*H22*I22)*0.5</f>
        <v>66019.432024169189</v>
      </c>
    </row>
    <row r="23" spans="1:11" ht="13.5" thickBot="1">
      <c r="A23" s="142"/>
      <c r="B23" s="224"/>
      <c r="C23" s="384" t="s">
        <v>128</v>
      </c>
      <c r="D23" s="385"/>
      <c r="E23" s="225"/>
      <c r="F23" s="225"/>
      <c r="G23" s="225"/>
      <c r="H23" s="225">
        <f>SUM(H18:H22)</f>
        <v>124</v>
      </c>
      <c r="I23" s="225"/>
      <c r="J23" s="229">
        <f>SUM(J18:J22)</f>
        <v>947842.22891786136</v>
      </c>
    </row>
    <row r="24" spans="1:11" ht="13.5" thickBot="1">
      <c r="A24" s="142"/>
      <c r="B24" s="71"/>
      <c r="C24" s="395" t="s">
        <v>105</v>
      </c>
      <c r="D24" s="396"/>
      <c r="E24" s="227"/>
      <c r="F24" s="227"/>
      <c r="G24" s="227"/>
      <c r="H24" s="227"/>
      <c r="I24" s="227"/>
      <c r="J24" s="228">
        <f>J15+J17+J23</f>
        <v>1194881.7461531425</v>
      </c>
    </row>
    <row r="25" spans="1:11">
      <c r="A25" s="381" t="s">
        <v>273</v>
      </c>
      <c r="B25" s="328"/>
      <c r="C25" s="328"/>
      <c r="D25" s="328"/>
      <c r="E25" s="328"/>
      <c r="F25" s="328"/>
      <c r="G25" s="328"/>
      <c r="H25" s="328"/>
      <c r="I25" s="328"/>
      <c r="J25" s="328"/>
    </row>
    <row r="26" spans="1:11">
      <c r="A26" s="328"/>
      <c r="B26" s="328"/>
      <c r="C26" s="328"/>
      <c r="D26" s="328"/>
      <c r="E26" s="328"/>
      <c r="F26" s="328"/>
      <c r="G26" s="328"/>
      <c r="H26" s="328"/>
      <c r="I26" s="328"/>
      <c r="J26" s="328"/>
    </row>
    <row r="27" spans="1:11" ht="29.25" customHeight="1">
      <c r="A27" s="111" t="s">
        <v>36</v>
      </c>
      <c r="B27" s="112"/>
      <c r="C27" s="112"/>
      <c r="D27" s="46" t="s">
        <v>221</v>
      </c>
      <c r="E27" s="46"/>
      <c r="F27" s="46"/>
      <c r="G27" s="380"/>
      <c r="H27" s="380"/>
      <c r="I27" s="157"/>
      <c r="J27" s="157"/>
    </row>
    <row r="28" spans="1:11" ht="34.5" customHeight="1">
      <c r="A28" s="39" t="s">
        <v>119</v>
      </c>
      <c r="B28" s="40"/>
      <c r="C28" s="40"/>
      <c r="D28" s="2" t="s">
        <v>143</v>
      </c>
      <c r="E28" s="2"/>
      <c r="F28" s="2"/>
      <c r="G28" s="51"/>
      <c r="H28" s="51"/>
      <c r="I28" s="22"/>
      <c r="J28" s="22"/>
    </row>
    <row r="29" spans="1:11">
      <c r="A29" s="2"/>
      <c r="B29" s="2"/>
      <c r="C29" s="2"/>
      <c r="D29" s="2"/>
      <c r="E29" s="2"/>
      <c r="F29" s="2"/>
      <c r="G29" s="42"/>
      <c r="H29" s="42"/>
      <c r="I29" s="17"/>
      <c r="J29" s="17"/>
    </row>
    <row r="30" spans="1:11">
      <c r="A30" s="2"/>
      <c r="B30" s="36"/>
      <c r="C30" s="36"/>
      <c r="D30" s="36"/>
      <c r="E30" s="36"/>
      <c r="F30" s="36"/>
      <c r="G30" s="42"/>
      <c r="H30" s="42"/>
      <c r="I30" s="17"/>
      <c r="J30" s="17"/>
    </row>
    <row r="31" spans="1:11">
      <c r="A31" s="17"/>
      <c r="B31" s="23"/>
      <c r="C31" s="23"/>
      <c r="D31" s="23"/>
      <c r="E31" s="23"/>
      <c r="F31" s="23"/>
      <c r="G31" s="23"/>
      <c r="H31" s="23"/>
      <c r="I31" s="17"/>
      <c r="J31" s="17"/>
    </row>
    <row r="32" spans="1:11">
      <c r="A32" s="23"/>
      <c r="B32" s="394"/>
      <c r="C32" s="394"/>
      <c r="D32" s="23"/>
      <c r="E32" s="23"/>
      <c r="F32" s="23"/>
      <c r="G32" s="23"/>
      <c r="H32" s="23"/>
      <c r="I32" s="17"/>
      <c r="J32" s="17"/>
    </row>
    <row r="34" spans="1:12">
      <c r="A34" s="2"/>
      <c r="B34" s="2"/>
      <c r="C34" s="2"/>
      <c r="D34" s="2"/>
      <c r="E34" s="2"/>
      <c r="F34" s="2"/>
      <c r="G34" s="2"/>
      <c r="H34" s="50">
        <v>153</v>
      </c>
      <c r="I34" s="2"/>
      <c r="J34" s="50">
        <v>3</v>
      </c>
      <c r="K34" s="50">
        <v>24</v>
      </c>
      <c r="L34" s="2"/>
    </row>
    <row r="35" spans="1:12" ht="51">
      <c r="A35" s="29" t="s">
        <v>144</v>
      </c>
      <c r="B35" s="29" t="s">
        <v>170</v>
      </c>
      <c r="C35" s="29" t="s">
        <v>171</v>
      </c>
      <c r="D35" s="29" t="s">
        <v>172</v>
      </c>
      <c r="E35" s="29"/>
      <c r="F35" s="29"/>
      <c r="G35" s="29" t="s">
        <v>106</v>
      </c>
      <c r="H35" s="29" t="s">
        <v>173</v>
      </c>
      <c r="I35" s="29" t="s">
        <v>8</v>
      </c>
      <c r="J35" s="29" t="s">
        <v>173</v>
      </c>
      <c r="K35" s="29" t="s">
        <v>175</v>
      </c>
      <c r="L35" s="29" t="s">
        <v>12</v>
      </c>
    </row>
    <row r="36" spans="1:12" ht="25.5">
      <c r="A36" s="24">
        <v>3</v>
      </c>
      <c r="B36" s="14" t="s">
        <v>191</v>
      </c>
      <c r="C36" s="13" t="s">
        <v>52</v>
      </c>
      <c r="D36" s="24">
        <v>298017</v>
      </c>
      <c r="E36" s="24"/>
      <c r="F36" s="24"/>
      <c r="G36" s="24">
        <v>1</v>
      </c>
      <c r="H36" s="54">
        <v>95</v>
      </c>
      <c r="I36" s="24">
        <v>0</v>
      </c>
      <c r="J36" s="24">
        <f>J34</f>
        <v>3</v>
      </c>
      <c r="K36" s="24">
        <v>13</v>
      </c>
      <c r="L36" s="24">
        <f>D36/H36*K36*J36</f>
        <v>122343.8210526316</v>
      </c>
    </row>
    <row r="37" spans="1:12" ht="25.5">
      <c r="A37" s="24"/>
      <c r="B37" s="14" t="s">
        <v>87</v>
      </c>
      <c r="C37" s="13" t="s">
        <v>52</v>
      </c>
      <c r="D37" s="24">
        <v>51764</v>
      </c>
      <c r="E37" s="24"/>
      <c r="F37" s="24"/>
      <c r="G37" s="24">
        <v>1</v>
      </c>
      <c r="H37" s="24">
        <f>H34</f>
        <v>153</v>
      </c>
      <c r="I37" s="24"/>
      <c r="J37" s="24">
        <f>J34</f>
        <v>3</v>
      </c>
      <c r="K37" s="24">
        <v>12</v>
      </c>
      <c r="L37" s="24">
        <f t="shared" ref="L37:L48" si="0">D37/H37*K37*J37</f>
        <v>12179.764705882353</v>
      </c>
    </row>
    <row r="38" spans="1:12" ht="25.5">
      <c r="A38" s="24">
        <v>4</v>
      </c>
      <c r="B38" s="7" t="s">
        <v>108</v>
      </c>
      <c r="C38" s="8" t="s">
        <v>52</v>
      </c>
      <c r="D38" s="24">
        <v>44685</v>
      </c>
      <c r="E38" s="24"/>
      <c r="F38" s="24"/>
      <c r="G38" s="24">
        <v>1</v>
      </c>
      <c r="H38" s="24">
        <f>H34</f>
        <v>153</v>
      </c>
      <c r="I38" s="24"/>
      <c r="J38" s="24">
        <f>J34</f>
        <v>3</v>
      </c>
      <c r="K38" s="24">
        <f>K34/2</f>
        <v>12</v>
      </c>
      <c r="L38" s="24">
        <f t="shared" si="0"/>
        <v>10514.117647058825</v>
      </c>
    </row>
    <row r="39" spans="1:12" ht="25.5">
      <c r="A39" s="24">
        <v>5</v>
      </c>
      <c r="B39" s="9" t="s">
        <v>117</v>
      </c>
      <c r="C39" s="8" t="s">
        <v>57</v>
      </c>
      <c r="D39" s="24">
        <v>29023</v>
      </c>
      <c r="E39" s="24"/>
      <c r="F39" s="24"/>
      <c r="G39" s="24">
        <v>1</v>
      </c>
      <c r="H39" s="24">
        <f>H34</f>
        <v>153</v>
      </c>
      <c r="I39" s="24"/>
      <c r="J39" s="24">
        <f>J34</f>
        <v>3</v>
      </c>
      <c r="K39" s="24">
        <f>K34/2</f>
        <v>12</v>
      </c>
      <c r="L39" s="24">
        <f t="shared" si="0"/>
        <v>6828.9411764705892</v>
      </c>
    </row>
    <row r="40" spans="1:12" ht="38.25">
      <c r="A40" s="24">
        <v>6</v>
      </c>
      <c r="B40" s="8" t="s">
        <v>94</v>
      </c>
      <c r="C40" s="8" t="s">
        <v>57</v>
      </c>
      <c r="D40" s="24">
        <v>30085</v>
      </c>
      <c r="E40" s="24"/>
      <c r="F40" s="24"/>
      <c r="G40" s="24">
        <v>1</v>
      </c>
      <c r="H40" s="24">
        <f>H34</f>
        <v>153</v>
      </c>
      <c r="I40" s="24"/>
      <c r="J40" s="24">
        <f>J34</f>
        <v>3</v>
      </c>
      <c r="K40" s="24">
        <f>K34/2</f>
        <v>12</v>
      </c>
      <c r="L40" s="24">
        <f t="shared" si="0"/>
        <v>7078.823529411764</v>
      </c>
    </row>
    <row r="41" spans="1:12" ht="25.5">
      <c r="A41" s="24">
        <v>7</v>
      </c>
      <c r="B41" s="8" t="s">
        <v>90</v>
      </c>
      <c r="C41" s="8" t="s">
        <v>57</v>
      </c>
      <c r="D41" s="24">
        <v>29731</v>
      </c>
      <c r="E41" s="24"/>
      <c r="F41" s="24"/>
      <c r="G41" s="24">
        <v>1</v>
      </c>
      <c r="H41" s="24">
        <f>H34</f>
        <v>153</v>
      </c>
      <c r="I41" s="24"/>
      <c r="J41" s="24">
        <f>J34</f>
        <v>3</v>
      </c>
      <c r="K41" s="24">
        <f>K34/2</f>
        <v>12</v>
      </c>
      <c r="L41" s="24">
        <f t="shared" si="0"/>
        <v>6995.5294117647063</v>
      </c>
    </row>
    <row r="42" spans="1:12" ht="25.5">
      <c r="A42" s="24">
        <v>8</v>
      </c>
      <c r="B42" s="3" t="s">
        <v>88</v>
      </c>
      <c r="C42" s="3" t="s">
        <v>57</v>
      </c>
      <c r="D42" s="24">
        <v>25307</v>
      </c>
      <c r="E42" s="24"/>
      <c r="F42" s="24"/>
      <c r="G42" s="24">
        <v>1</v>
      </c>
      <c r="H42" s="24">
        <f>H34</f>
        <v>153</v>
      </c>
      <c r="I42" s="24"/>
      <c r="J42" s="24">
        <f>J34</f>
        <v>3</v>
      </c>
      <c r="K42" s="24">
        <f>K34/2</f>
        <v>12</v>
      </c>
      <c r="L42" s="24">
        <f t="shared" si="0"/>
        <v>5954.5882352941171</v>
      </c>
    </row>
    <row r="43" spans="1:12">
      <c r="A43" s="24">
        <v>9</v>
      </c>
      <c r="B43" s="9" t="s">
        <v>177</v>
      </c>
      <c r="C43" s="24" t="s">
        <v>93</v>
      </c>
      <c r="D43" s="24">
        <v>24599</v>
      </c>
      <c r="E43" s="24"/>
      <c r="F43" s="24"/>
      <c r="G43" s="24">
        <v>3</v>
      </c>
      <c r="H43" s="24">
        <f>H34</f>
        <v>153</v>
      </c>
      <c r="I43" s="24"/>
      <c r="J43" s="24">
        <f>J34</f>
        <v>3</v>
      </c>
      <c r="K43" s="24">
        <f>K34/3</f>
        <v>8</v>
      </c>
      <c r="L43" s="24">
        <f t="shared" si="0"/>
        <v>3858.6666666666665</v>
      </c>
    </row>
    <row r="44" spans="1:12">
      <c r="A44" s="54">
        <v>10</v>
      </c>
      <c r="B44" s="54" t="s">
        <v>176</v>
      </c>
      <c r="C44" s="54" t="s">
        <v>65</v>
      </c>
      <c r="D44" s="54">
        <v>28138</v>
      </c>
      <c r="E44" s="54"/>
      <c r="F44" s="54"/>
      <c r="G44" s="54">
        <v>4</v>
      </c>
      <c r="H44" s="24">
        <f>H34</f>
        <v>153</v>
      </c>
      <c r="I44" s="54"/>
      <c r="J44" s="24">
        <f>J34</f>
        <v>3</v>
      </c>
      <c r="K44" s="24">
        <f>K34/4</f>
        <v>6</v>
      </c>
      <c r="L44" s="24">
        <f t="shared" si="0"/>
        <v>3310.3529411764707</v>
      </c>
    </row>
    <row r="45" spans="1:12">
      <c r="A45" s="24">
        <v>11</v>
      </c>
      <c r="B45" s="9" t="s">
        <v>178</v>
      </c>
      <c r="C45" s="24" t="s">
        <v>93</v>
      </c>
      <c r="D45" s="24">
        <v>24599</v>
      </c>
      <c r="E45" s="24"/>
      <c r="F45" s="24"/>
      <c r="G45" s="52">
        <v>2</v>
      </c>
      <c r="H45" s="24">
        <f>H34</f>
        <v>153</v>
      </c>
      <c r="I45" s="52"/>
      <c r="J45" s="24">
        <f>J34</f>
        <v>3</v>
      </c>
      <c r="K45" s="24">
        <f>K34/2</f>
        <v>12</v>
      </c>
      <c r="L45" s="24">
        <f t="shared" si="0"/>
        <v>5788</v>
      </c>
    </row>
    <row r="46" spans="1:12">
      <c r="A46" s="24"/>
      <c r="B46" s="9"/>
      <c r="C46" s="24" t="s">
        <v>62</v>
      </c>
      <c r="D46" s="24">
        <v>28138</v>
      </c>
      <c r="E46" s="24"/>
      <c r="F46" s="24"/>
      <c r="G46" s="52">
        <v>1</v>
      </c>
      <c r="H46" s="24">
        <f>H34</f>
        <v>153</v>
      </c>
      <c r="I46" s="52"/>
      <c r="J46" s="24">
        <f>J34</f>
        <v>3</v>
      </c>
      <c r="K46" s="24">
        <v>11</v>
      </c>
      <c r="L46" s="24">
        <f t="shared" si="0"/>
        <v>6068.9803921568628</v>
      </c>
    </row>
    <row r="47" spans="1:12">
      <c r="A47" s="24"/>
      <c r="B47" s="9"/>
      <c r="C47" s="24" t="s">
        <v>62</v>
      </c>
      <c r="D47" s="24">
        <v>30085</v>
      </c>
      <c r="E47" s="24"/>
      <c r="F47" s="24"/>
      <c r="G47" s="52">
        <v>1</v>
      </c>
      <c r="H47" s="24">
        <f>H34</f>
        <v>153</v>
      </c>
      <c r="I47" s="52"/>
      <c r="J47" s="24">
        <f>J34</f>
        <v>3</v>
      </c>
      <c r="K47" s="24">
        <v>11</v>
      </c>
      <c r="L47" s="24">
        <f t="shared" si="0"/>
        <v>6488.9215686274511</v>
      </c>
    </row>
    <row r="48" spans="1:12">
      <c r="A48" s="24"/>
      <c r="B48" s="9"/>
      <c r="C48" s="24" t="s">
        <v>192</v>
      </c>
      <c r="D48" s="24">
        <v>26369</v>
      </c>
      <c r="E48" s="24"/>
      <c r="F48" s="24"/>
      <c r="G48" s="52">
        <v>1</v>
      </c>
      <c r="H48" s="24">
        <f>H34</f>
        <v>153</v>
      </c>
      <c r="I48" s="52"/>
      <c r="J48" s="24">
        <f>J34</f>
        <v>3</v>
      </c>
      <c r="K48" s="24">
        <v>11</v>
      </c>
      <c r="L48" s="24">
        <f t="shared" si="0"/>
        <v>5687.4313725490192</v>
      </c>
    </row>
    <row r="49" spans="1:12" s="49" customFormat="1" ht="38.25" customHeight="1">
      <c r="A49" s="55"/>
      <c r="B49" s="56" t="s">
        <v>37</v>
      </c>
      <c r="C49" s="55"/>
      <c r="D49" s="55"/>
      <c r="E49" s="55"/>
      <c r="F49" s="55"/>
      <c r="G49" s="55"/>
      <c r="H49" s="55"/>
      <c r="I49" s="55"/>
      <c r="J49" s="55"/>
      <c r="K49" s="55"/>
      <c r="L49" s="55">
        <f>SUM(L36:L48)</f>
        <v>203097.93869969042</v>
      </c>
    </row>
    <row r="50" spans="1:12">
      <c r="A50" s="26"/>
      <c r="B50" s="9"/>
      <c r="C50" s="52"/>
      <c r="D50" s="26"/>
      <c r="E50" s="26"/>
      <c r="F50" s="26"/>
      <c r="G50" s="26"/>
      <c r="H50" s="26"/>
      <c r="I50" s="26"/>
      <c r="J50" s="26"/>
      <c r="K50" s="26"/>
      <c r="L50" s="26"/>
    </row>
  </sheetData>
  <mergeCells count="16">
    <mergeCell ref="B32:C32"/>
    <mergeCell ref="C23:D23"/>
    <mergeCell ref="C24:D24"/>
    <mergeCell ref="C12:D12"/>
    <mergeCell ref="C13:D13"/>
    <mergeCell ref="C14:D14"/>
    <mergeCell ref="C15:D15"/>
    <mergeCell ref="G27:H27"/>
    <mergeCell ref="A25:J26"/>
    <mergeCell ref="C16:D16"/>
    <mergeCell ref="C17:D17"/>
    <mergeCell ref="C18:D18"/>
    <mergeCell ref="C20:D20"/>
    <mergeCell ref="C19:D19"/>
    <mergeCell ref="C21:D21"/>
    <mergeCell ref="C22:D22"/>
  </mergeCells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2"/>
  <sheetViews>
    <sheetView view="pageBreakPreview" topLeftCell="C14" zoomScale="92" zoomScaleSheetLayoutView="92" workbookViewId="0">
      <selection activeCell="AB29" sqref="AB29"/>
    </sheetView>
  </sheetViews>
  <sheetFormatPr defaultRowHeight="12.75"/>
  <cols>
    <col min="1" max="1" width="3.85546875" style="57" customWidth="1"/>
    <col min="2" max="2" width="22.7109375" style="57" customWidth="1"/>
    <col min="3" max="3" width="6" style="57" customWidth="1"/>
    <col min="4" max="4" width="7" style="57" customWidth="1"/>
    <col min="5" max="5" width="8.5703125" style="57" customWidth="1"/>
    <col min="6" max="6" width="11.5703125" style="57" customWidth="1"/>
    <col min="7" max="7" width="7.7109375" style="57" customWidth="1"/>
    <col min="8" max="8" width="9.28515625" style="57" bestFit="1" customWidth="1"/>
    <col min="9" max="10" width="8.42578125" style="57" customWidth="1"/>
    <col min="11" max="11" width="8.85546875" style="57" customWidth="1"/>
    <col min="12" max="14" width="7.42578125" style="57" customWidth="1"/>
    <col min="15" max="15" width="8" style="57" customWidth="1"/>
    <col min="16" max="16" width="9.140625" style="57" customWidth="1"/>
    <col min="17" max="17" width="6.5703125" style="57" customWidth="1"/>
    <col min="18" max="18" width="7.7109375" style="57" customWidth="1"/>
    <col min="19" max="19" width="9.140625" style="57" hidden="1" customWidth="1"/>
    <col min="20" max="20" width="8.42578125" style="57" customWidth="1"/>
    <col min="21" max="21" width="9.140625" style="57" hidden="1" customWidth="1"/>
    <col min="22" max="22" width="13.5703125" style="57" hidden="1" customWidth="1"/>
    <col min="23" max="23" width="13.28515625" style="57" customWidth="1"/>
    <col min="24" max="24" width="10.42578125" style="57" customWidth="1"/>
    <col min="25" max="25" width="8" style="57" customWidth="1"/>
    <col min="26" max="26" width="8.42578125" style="57" customWidth="1"/>
    <col min="27" max="27" width="9.28515625" style="57" customWidth="1"/>
    <col min="28" max="28" width="10.85546875" style="57" customWidth="1"/>
  </cols>
  <sheetData>
    <row r="1" spans="1:31" ht="15.75">
      <c r="A1" s="80"/>
      <c r="B1" s="81"/>
      <c r="C1" s="82"/>
      <c r="D1" s="82"/>
      <c r="E1" s="82"/>
      <c r="F1" s="82"/>
      <c r="G1" s="48"/>
      <c r="H1" s="48"/>
      <c r="I1" s="48"/>
      <c r="J1" s="48"/>
      <c r="K1" s="48"/>
      <c r="L1" s="83"/>
      <c r="M1" s="83"/>
      <c r="N1" s="83"/>
      <c r="O1" s="80"/>
      <c r="P1" s="80"/>
      <c r="Q1" s="80"/>
      <c r="R1" s="80"/>
      <c r="S1" s="80"/>
      <c r="T1" s="80"/>
      <c r="U1" s="80"/>
      <c r="V1" s="80"/>
      <c r="W1" s="80"/>
      <c r="X1" s="80"/>
      <c r="Y1" s="6"/>
      <c r="Z1" s="6"/>
      <c r="AA1" s="6"/>
      <c r="AB1" s="6"/>
    </row>
    <row r="2" spans="1:31" ht="15.75">
      <c r="A2" s="16"/>
      <c r="B2" s="90"/>
      <c r="C2" s="82"/>
      <c r="D2" s="82"/>
      <c r="E2" s="82"/>
      <c r="F2" s="82"/>
      <c r="G2" s="48"/>
      <c r="H2" s="48"/>
      <c r="I2" s="48"/>
      <c r="J2" s="48"/>
      <c r="K2" s="48"/>
      <c r="L2" s="48"/>
      <c r="M2" s="48"/>
      <c r="N2" s="48"/>
      <c r="O2" s="44"/>
      <c r="P2" s="16"/>
      <c r="Q2" s="16"/>
      <c r="R2" s="16"/>
      <c r="S2" s="16"/>
      <c r="T2" s="16"/>
      <c r="U2" s="16"/>
      <c r="V2" s="16"/>
      <c r="W2" s="16"/>
      <c r="X2" s="16"/>
      <c r="Y2" s="6"/>
      <c r="Z2" s="6"/>
      <c r="AA2" s="6"/>
      <c r="AB2" s="6"/>
    </row>
    <row r="3" spans="1:31" ht="15">
      <c r="A3" s="6"/>
      <c r="B3" s="81"/>
      <c r="C3" s="82"/>
      <c r="D3" s="82"/>
      <c r="E3" s="82"/>
      <c r="F3" s="82"/>
      <c r="G3" s="32"/>
      <c r="H3" s="32"/>
      <c r="I3" s="32"/>
      <c r="J3" s="32"/>
      <c r="K3" s="32"/>
      <c r="L3" s="32"/>
      <c r="M3" s="32"/>
      <c r="N3" s="32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3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1"/>
      <c r="AD4" s="31"/>
      <c r="AE4" s="31"/>
    </row>
    <row r="5" spans="1:3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1"/>
      <c r="AD5" s="31"/>
      <c r="AE5" s="31"/>
    </row>
    <row r="6" spans="1:31">
      <c r="A6" s="6"/>
      <c r="B6" s="6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31"/>
      <c r="AD6" s="31"/>
      <c r="AE6" s="31"/>
    </row>
    <row r="7" spans="1:31">
      <c r="A7" s="6"/>
      <c r="B7" s="6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31"/>
      <c r="AD7" s="31"/>
      <c r="AE7" s="31"/>
    </row>
    <row r="8" spans="1:31" ht="15" customHeight="1">
      <c r="A8" s="16"/>
      <c r="B8" s="16"/>
      <c r="C8" s="16"/>
      <c r="D8" s="16"/>
      <c r="E8" s="16"/>
      <c r="F8" s="43"/>
      <c r="G8" s="43"/>
      <c r="H8" s="43"/>
      <c r="I8" s="43"/>
      <c r="J8" s="43" t="s">
        <v>146</v>
      </c>
      <c r="K8" s="43"/>
      <c r="L8" s="43"/>
      <c r="M8" s="43"/>
      <c r="N8" s="43"/>
      <c r="O8" s="43"/>
      <c r="P8" s="33"/>
      <c r="Q8" s="33"/>
      <c r="R8" s="33"/>
      <c r="S8" s="33"/>
      <c r="T8" s="33"/>
      <c r="U8" s="33"/>
      <c r="V8" s="33"/>
      <c r="W8" s="33"/>
      <c r="X8" s="16"/>
      <c r="Y8" s="6"/>
      <c r="Z8" s="6"/>
      <c r="AA8" s="6"/>
      <c r="AB8" s="6"/>
      <c r="AC8" s="31"/>
      <c r="AD8" s="31"/>
      <c r="AE8" s="31"/>
    </row>
    <row r="9" spans="1:31" ht="18">
      <c r="A9" s="16"/>
      <c r="B9" s="44" t="s">
        <v>147</v>
      </c>
      <c r="C9" s="43"/>
      <c r="D9" s="43"/>
      <c r="E9" s="43"/>
      <c r="F9" s="43"/>
      <c r="G9" s="43"/>
      <c r="H9" s="43"/>
      <c r="I9" s="43"/>
      <c r="J9" s="43"/>
      <c r="K9" s="33"/>
      <c r="L9" s="33"/>
      <c r="M9" s="33"/>
      <c r="N9" s="33"/>
      <c r="O9" s="33"/>
      <c r="P9" s="33"/>
      <c r="Q9" s="33"/>
      <c r="R9" s="33"/>
      <c r="S9" s="33"/>
      <c r="T9" s="16"/>
      <c r="U9" s="6"/>
      <c r="V9" s="6"/>
      <c r="W9" s="6"/>
      <c r="X9" s="6"/>
      <c r="Y9" s="6"/>
      <c r="Z9" s="6"/>
      <c r="AA9" s="6"/>
      <c r="AB9" s="6"/>
      <c r="AC9" s="31"/>
      <c r="AD9" s="31"/>
      <c r="AE9" s="31"/>
    </row>
    <row r="10" spans="1:31" ht="12.75" customHeight="1">
      <c r="A10" s="16"/>
      <c r="B10" s="411" t="s">
        <v>341</v>
      </c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6"/>
      <c r="V10" s="6"/>
      <c r="W10" s="6"/>
      <c r="X10" s="6"/>
      <c r="Y10" s="6"/>
      <c r="Z10" s="6"/>
      <c r="AA10" s="6"/>
      <c r="AB10" s="6"/>
      <c r="AC10" s="31"/>
      <c r="AD10" s="31"/>
      <c r="AE10" s="31"/>
    </row>
    <row r="11" spans="1:31" ht="75" customHeight="1">
      <c r="A11" s="16"/>
      <c r="B11" s="413"/>
      <c r="C11" s="413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3"/>
      <c r="T11" s="413"/>
      <c r="U11" s="16"/>
      <c r="V11" s="16"/>
      <c r="W11" s="16"/>
      <c r="X11" s="16" t="s">
        <v>338</v>
      </c>
      <c r="Y11" s="6"/>
      <c r="Z11" s="6"/>
      <c r="AA11" s="6"/>
      <c r="AB11" s="6"/>
      <c r="AC11" s="31"/>
      <c r="AD11" s="31"/>
      <c r="AE11" s="31"/>
    </row>
    <row r="12" spans="1:31" ht="34.5" customHeight="1">
      <c r="A12" s="410" t="s">
        <v>144</v>
      </c>
      <c r="B12" s="410" t="s">
        <v>148</v>
      </c>
      <c r="C12" s="409" t="s">
        <v>149</v>
      </c>
      <c r="D12" s="409"/>
      <c r="E12" s="399" t="s">
        <v>10</v>
      </c>
      <c r="F12" s="399" t="s">
        <v>150</v>
      </c>
      <c r="G12" s="414" t="s">
        <v>42</v>
      </c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6"/>
      <c r="T12" s="409" t="s">
        <v>151</v>
      </c>
      <c r="U12" s="410"/>
      <c r="V12" s="399" t="s">
        <v>167</v>
      </c>
      <c r="W12" s="399" t="s">
        <v>152</v>
      </c>
      <c r="X12" s="399" t="s">
        <v>222</v>
      </c>
      <c r="Y12" s="409" t="s">
        <v>265</v>
      </c>
      <c r="Z12" s="399" t="s">
        <v>223</v>
      </c>
      <c r="AA12" s="402" t="s">
        <v>266</v>
      </c>
      <c r="AB12" s="402" t="s">
        <v>339</v>
      </c>
      <c r="AC12" s="31"/>
      <c r="AD12" s="31"/>
      <c r="AE12" s="31"/>
    </row>
    <row r="13" spans="1:31">
      <c r="A13" s="410"/>
      <c r="B13" s="410"/>
      <c r="C13" s="409"/>
      <c r="D13" s="409"/>
      <c r="E13" s="400"/>
      <c r="F13" s="400"/>
      <c r="G13" s="405" t="s">
        <v>153</v>
      </c>
      <c r="H13" s="405" t="s">
        <v>154</v>
      </c>
      <c r="I13" s="406" t="s">
        <v>155</v>
      </c>
      <c r="J13" s="406" t="s">
        <v>14</v>
      </c>
      <c r="K13" s="408">
        <v>0.1</v>
      </c>
      <c r="L13" s="405" t="s">
        <v>156</v>
      </c>
      <c r="M13" s="406" t="s">
        <v>301</v>
      </c>
      <c r="N13" s="406"/>
      <c r="O13" s="405" t="s">
        <v>157</v>
      </c>
      <c r="P13" s="405" t="s">
        <v>340</v>
      </c>
      <c r="Q13" s="406" t="s">
        <v>218</v>
      </c>
      <c r="R13" s="405" t="s">
        <v>30</v>
      </c>
      <c r="S13" s="409" t="s">
        <v>283</v>
      </c>
      <c r="T13" s="409"/>
      <c r="U13" s="410"/>
      <c r="V13" s="400"/>
      <c r="W13" s="400"/>
      <c r="X13" s="400"/>
      <c r="Y13" s="409"/>
      <c r="Z13" s="400"/>
      <c r="AA13" s="403"/>
      <c r="AB13" s="403"/>
      <c r="AC13" s="31"/>
      <c r="AD13" s="31"/>
      <c r="AE13" s="31"/>
    </row>
    <row r="14" spans="1:31" ht="67.150000000000006" customHeight="1">
      <c r="A14" s="410"/>
      <c r="B14" s="410"/>
      <c r="C14" s="262" t="s">
        <v>158</v>
      </c>
      <c r="D14" s="262" t="s">
        <v>159</v>
      </c>
      <c r="E14" s="401"/>
      <c r="F14" s="401"/>
      <c r="G14" s="405"/>
      <c r="H14" s="405"/>
      <c r="I14" s="407"/>
      <c r="J14" s="407"/>
      <c r="K14" s="405"/>
      <c r="L14" s="405"/>
      <c r="M14" s="407"/>
      <c r="N14" s="407"/>
      <c r="O14" s="405"/>
      <c r="P14" s="405"/>
      <c r="Q14" s="407"/>
      <c r="R14" s="405"/>
      <c r="S14" s="409"/>
      <c r="T14" s="409"/>
      <c r="U14" s="410"/>
      <c r="V14" s="401"/>
      <c r="W14" s="401"/>
      <c r="X14" s="401"/>
      <c r="Y14" s="409"/>
      <c r="Z14" s="401"/>
      <c r="AA14" s="404"/>
      <c r="AB14" s="404"/>
      <c r="AC14" s="31"/>
      <c r="AD14" s="31"/>
      <c r="AE14" s="31"/>
    </row>
    <row r="15" spans="1:31">
      <c r="A15" s="4">
        <v>1</v>
      </c>
      <c r="B15" s="4" t="s">
        <v>160</v>
      </c>
      <c r="C15" s="4">
        <v>68</v>
      </c>
      <c r="D15" s="4">
        <v>3.78</v>
      </c>
      <c r="E15" s="4">
        <v>83699</v>
      </c>
      <c r="F15" s="4">
        <v>334798</v>
      </c>
      <c r="G15" s="4">
        <v>4965</v>
      </c>
      <c r="H15" s="4"/>
      <c r="I15" s="4"/>
      <c r="J15" s="4">
        <v>26759</v>
      </c>
      <c r="K15" s="4">
        <v>41849</v>
      </c>
      <c r="L15" s="4"/>
      <c r="M15" s="4"/>
      <c r="N15" s="4"/>
      <c r="O15" s="4"/>
      <c r="P15" s="4"/>
      <c r="Q15" s="4"/>
      <c r="R15" s="4"/>
      <c r="S15" s="4"/>
      <c r="T15" s="4">
        <f>SUM(G15:R15)</f>
        <v>73573</v>
      </c>
      <c r="U15" s="4"/>
      <c r="V15" s="4">
        <f>W15*4</f>
        <v>1968280</v>
      </c>
      <c r="W15" s="4">
        <f>T15+F15+E15</f>
        <v>492070</v>
      </c>
      <c r="X15" s="4">
        <f>W15*12</f>
        <v>5904840</v>
      </c>
      <c r="Y15" s="4"/>
      <c r="Z15" s="4"/>
      <c r="AA15" s="4"/>
      <c r="AB15" s="257">
        <f>(X15+Y15+Z15+AA15)</f>
        <v>5904840</v>
      </c>
      <c r="AC15" s="31"/>
      <c r="AD15" s="31"/>
      <c r="AE15" s="31"/>
    </row>
    <row r="16" spans="1:31">
      <c r="A16" s="4">
        <v>2</v>
      </c>
      <c r="B16" s="4" t="s">
        <v>161</v>
      </c>
      <c r="C16" s="4">
        <v>161</v>
      </c>
      <c r="D16" s="4">
        <v>8.94</v>
      </c>
      <c r="E16" s="4">
        <v>193802</v>
      </c>
      <c r="F16" s="4">
        <v>775207</v>
      </c>
      <c r="G16" s="4">
        <v>15092</v>
      </c>
      <c r="H16" s="4">
        <v>49552</v>
      </c>
      <c r="I16" s="4"/>
      <c r="J16" s="4">
        <v>63286</v>
      </c>
      <c r="K16" s="4">
        <v>96901</v>
      </c>
      <c r="L16" s="4"/>
      <c r="M16" s="4"/>
      <c r="N16" s="4"/>
      <c r="O16" s="4"/>
      <c r="P16" s="4"/>
      <c r="Q16" s="4"/>
      <c r="R16" s="4"/>
      <c r="S16" s="4"/>
      <c r="T16" s="4">
        <f>SUM(G16:R16)</f>
        <v>224831</v>
      </c>
      <c r="U16" s="4"/>
      <c r="V16" s="4">
        <f>W16*4</f>
        <v>4775360</v>
      </c>
      <c r="W16" s="4">
        <f>T16+F16+E16</f>
        <v>1193840</v>
      </c>
      <c r="X16" s="4">
        <f t="shared" ref="X16:X18" si="0">W16*12</f>
        <v>14326080</v>
      </c>
      <c r="Y16" s="4"/>
      <c r="Z16" s="4"/>
      <c r="AA16" s="4"/>
      <c r="AB16" s="257">
        <f t="shared" ref="AB16:AB17" si="1">(X16+Y16+Z16+AA16)</f>
        <v>14326080</v>
      </c>
      <c r="AC16" s="31"/>
      <c r="AD16" s="31"/>
      <c r="AE16" s="31"/>
    </row>
    <row r="17" spans="1:31">
      <c r="A17" s="4">
        <v>3</v>
      </c>
      <c r="B17" s="4" t="s">
        <v>245</v>
      </c>
      <c r="C17" s="4">
        <v>47</v>
      </c>
      <c r="D17" s="4">
        <v>2.6</v>
      </c>
      <c r="E17" s="4">
        <v>55625</v>
      </c>
      <c r="F17" s="4">
        <v>222501</v>
      </c>
      <c r="G17" s="4"/>
      <c r="H17" s="4"/>
      <c r="I17" s="4"/>
      <c r="J17" s="4">
        <v>18497</v>
      </c>
      <c r="K17" s="4">
        <v>27813</v>
      </c>
      <c r="L17" s="4"/>
      <c r="M17" s="4"/>
      <c r="N17" s="4"/>
      <c r="O17" s="4"/>
      <c r="P17" s="4"/>
      <c r="Q17" s="4"/>
      <c r="R17" s="4"/>
      <c r="S17" s="4"/>
      <c r="T17" s="4">
        <f>SUM(G17:R17)</f>
        <v>46310</v>
      </c>
      <c r="U17" s="4"/>
      <c r="V17" s="4"/>
      <c r="W17" s="4">
        <f>T17+F17+E17</f>
        <v>324436</v>
      </c>
      <c r="X17" s="4">
        <f t="shared" si="0"/>
        <v>3893232</v>
      </c>
      <c r="Y17" s="4"/>
      <c r="Z17" s="4"/>
      <c r="AA17" s="4"/>
      <c r="AB17" s="257">
        <f t="shared" si="1"/>
        <v>3893232</v>
      </c>
      <c r="AC17" s="31"/>
      <c r="AD17" s="31"/>
      <c r="AE17" s="31"/>
    </row>
    <row r="18" spans="1:31" ht="16.899999999999999" hidden="1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>
        <f t="shared" ref="T18" si="2">SUM(G18:R18)</f>
        <v>0</v>
      </c>
      <c r="U18" s="4"/>
      <c r="V18" s="4"/>
      <c r="W18" s="4">
        <f t="shared" ref="W18" si="3">T18+F18+E18</f>
        <v>0</v>
      </c>
      <c r="X18" s="4">
        <f t="shared" si="0"/>
        <v>0</v>
      </c>
      <c r="Y18" s="4"/>
      <c r="Z18" s="4"/>
      <c r="AA18" s="4"/>
      <c r="AB18" s="4">
        <f t="shared" ref="AB18" si="4">X18+Y18+Z18+AA18</f>
        <v>0</v>
      </c>
      <c r="AC18" s="31"/>
      <c r="AD18" s="31"/>
      <c r="AE18" s="31"/>
    </row>
    <row r="19" spans="1:31" s="57" customFormat="1">
      <c r="A19" s="89"/>
      <c r="B19" s="89" t="s">
        <v>162</v>
      </c>
      <c r="C19" s="89">
        <f>SUM(C15:C17)</f>
        <v>276</v>
      </c>
      <c r="D19" s="89">
        <f t="shared" ref="D19:AA19" si="5">SUM(D15:D17)</f>
        <v>15.319999999999999</v>
      </c>
      <c r="E19" s="89">
        <f t="shared" si="5"/>
        <v>333126</v>
      </c>
      <c r="F19" s="89">
        <f t="shared" si="5"/>
        <v>1332506</v>
      </c>
      <c r="G19" s="89">
        <f t="shared" si="5"/>
        <v>20057</v>
      </c>
      <c r="H19" s="89">
        <f t="shared" si="5"/>
        <v>49552</v>
      </c>
      <c r="I19" s="89">
        <f t="shared" si="5"/>
        <v>0</v>
      </c>
      <c r="J19" s="89">
        <f t="shared" si="5"/>
        <v>108542</v>
      </c>
      <c r="K19" s="89">
        <f t="shared" si="5"/>
        <v>166563</v>
      </c>
      <c r="L19" s="89">
        <f t="shared" si="5"/>
        <v>0</v>
      </c>
      <c r="M19" s="89">
        <f>SUM(M15:M17)</f>
        <v>0</v>
      </c>
      <c r="N19" s="89"/>
      <c r="O19" s="89">
        <f t="shared" si="5"/>
        <v>0</v>
      </c>
      <c r="P19" s="89">
        <f t="shared" si="5"/>
        <v>0</v>
      </c>
      <c r="Q19" s="89">
        <f t="shared" si="5"/>
        <v>0</v>
      </c>
      <c r="R19" s="89">
        <f t="shared" si="5"/>
        <v>0</v>
      </c>
      <c r="S19" s="89">
        <f t="shared" si="5"/>
        <v>0</v>
      </c>
      <c r="T19" s="89">
        <f t="shared" si="5"/>
        <v>344714</v>
      </c>
      <c r="U19" s="89">
        <f t="shared" si="5"/>
        <v>0</v>
      </c>
      <c r="V19" s="89">
        <f t="shared" si="5"/>
        <v>6743640</v>
      </c>
      <c r="W19" s="89">
        <f t="shared" si="5"/>
        <v>2010346</v>
      </c>
      <c r="X19" s="89">
        <f t="shared" si="5"/>
        <v>24124152</v>
      </c>
      <c r="Y19" s="89">
        <f t="shared" si="5"/>
        <v>0</v>
      </c>
      <c r="Z19" s="89">
        <f t="shared" si="5"/>
        <v>0</v>
      </c>
      <c r="AA19" s="89">
        <f t="shared" si="5"/>
        <v>0</v>
      </c>
      <c r="AB19" s="73">
        <f>SUM(AB15:AB17)</f>
        <v>24124152</v>
      </c>
      <c r="AC19" s="45"/>
      <c r="AD19" s="45"/>
      <c r="AE19" s="45"/>
    </row>
    <row r="20" spans="1:31" s="57" customFormat="1" ht="14.45" customHeight="1">
      <c r="A20" s="4">
        <v>4</v>
      </c>
      <c r="B20" s="8" t="s">
        <v>163</v>
      </c>
      <c r="C20" s="4"/>
      <c r="D20" s="4">
        <v>4</v>
      </c>
      <c r="E20" s="4">
        <v>59152</v>
      </c>
      <c r="F20" s="4">
        <v>441186</v>
      </c>
      <c r="G20" s="4"/>
      <c r="H20" s="4"/>
      <c r="I20" s="4"/>
      <c r="J20" s="4">
        <v>14157</v>
      </c>
      <c r="K20" s="4">
        <v>50034</v>
      </c>
      <c r="L20" s="4"/>
      <c r="M20" s="4"/>
      <c r="N20" s="4"/>
      <c r="O20" s="4"/>
      <c r="P20" s="4"/>
      <c r="Q20" s="4"/>
      <c r="R20" s="4"/>
      <c r="S20" s="4"/>
      <c r="T20" s="4">
        <f>SUM(G20:R20)</f>
        <v>64191</v>
      </c>
      <c r="U20" s="4"/>
      <c r="V20" s="4"/>
      <c r="W20" s="4">
        <f>T20+F20+E20</f>
        <v>564529</v>
      </c>
      <c r="X20" s="4">
        <f>W20*12</f>
        <v>6774348</v>
      </c>
      <c r="Y20" s="4"/>
      <c r="Z20" s="4"/>
      <c r="AA20" s="4"/>
      <c r="AB20" s="257">
        <f>(X20+Y20+Z20+AA20)</f>
        <v>6774348</v>
      </c>
      <c r="AC20" s="45"/>
      <c r="AD20" s="45"/>
      <c r="AE20" s="45"/>
    </row>
    <row r="21" spans="1:31" s="57" customFormat="1" ht="38.25">
      <c r="A21" s="4">
        <v>5</v>
      </c>
      <c r="B21" s="8" t="s">
        <v>164</v>
      </c>
      <c r="C21" s="4"/>
      <c r="D21" s="4">
        <v>13</v>
      </c>
      <c r="E21" s="4">
        <v>232972</v>
      </c>
      <c r="F21" s="4">
        <v>931888</v>
      </c>
      <c r="G21" s="4"/>
      <c r="H21" s="4"/>
      <c r="I21" s="4">
        <v>5309</v>
      </c>
      <c r="J21" s="4">
        <v>70788</v>
      </c>
      <c r="K21" s="4">
        <v>116486</v>
      </c>
      <c r="L21" s="4"/>
      <c r="M21" s="4"/>
      <c r="N21" s="4"/>
      <c r="O21" s="4">
        <v>47200</v>
      </c>
      <c r="P21" s="4"/>
      <c r="Q21" s="4"/>
      <c r="R21" s="4"/>
      <c r="S21" s="4"/>
      <c r="T21" s="4">
        <f>SUM(G21:S21)</f>
        <v>239783</v>
      </c>
      <c r="U21" s="4"/>
      <c r="V21" s="4"/>
      <c r="W21" s="4">
        <f>T21+F21+E21</f>
        <v>1404643</v>
      </c>
      <c r="X21" s="4">
        <f t="shared" ref="X21:X23" si="6">W21*12</f>
        <v>16855716</v>
      </c>
      <c r="Y21" s="4">
        <v>66109</v>
      </c>
      <c r="Z21" s="4">
        <v>1295280</v>
      </c>
      <c r="AA21" s="4"/>
      <c r="AB21" s="257">
        <f t="shared" ref="AB21:AB25" si="7">(X21+Y21+Z21+AA21)</f>
        <v>18217105</v>
      </c>
      <c r="AC21" s="45"/>
      <c r="AD21" s="45"/>
      <c r="AE21" s="45"/>
    </row>
    <row r="22" spans="1:31" s="57" customFormat="1">
      <c r="A22" s="4">
        <v>6</v>
      </c>
      <c r="B22" s="8" t="s">
        <v>165</v>
      </c>
      <c r="C22" s="4"/>
      <c r="D22" s="4">
        <v>46.5</v>
      </c>
      <c r="E22" s="4"/>
      <c r="F22" s="4">
        <v>2493772</v>
      </c>
      <c r="G22" s="4"/>
      <c r="H22" s="4"/>
      <c r="I22" s="4"/>
      <c r="J22" s="4">
        <v>28315</v>
      </c>
      <c r="K22" s="4">
        <v>249377</v>
      </c>
      <c r="L22" s="4">
        <v>9290</v>
      </c>
      <c r="M22" s="4"/>
      <c r="N22" s="4"/>
      <c r="O22" s="4">
        <v>195017</v>
      </c>
      <c r="P22" s="4"/>
      <c r="Q22" s="4">
        <v>65493</v>
      </c>
      <c r="R22" s="4">
        <v>95563</v>
      </c>
      <c r="S22" s="4"/>
      <c r="T22" s="4">
        <f t="shared" ref="T22:T25" si="8">SUM(G22:S22)</f>
        <v>643055</v>
      </c>
      <c r="U22" s="4"/>
      <c r="V22" s="4">
        <f>W22*4</f>
        <v>12547308</v>
      </c>
      <c r="W22" s="4">
        <f>T22+F22+E22</f>
        <v>3136827</v>
      </c>
      <c r="X22" s="4">
        <f>W22*12</f>
        <v>37641924</v>
      </c>
      <c r="Y22" s="4">
        <v>928669</v>
      </c>
      <c r="Z22" s="4">
        <v>1257423</v>
      </c>
      <c r="AA22" s="4">
        <v>-1014884</v>
      </c>
      <c r="AB22" s="257">
        <f t="shared" si="7"/>
        <v>38813132</v>
      </c>
      <c r="AC22" s="45"/>
      <c r="AD22" s="45"/>
      <c r="AE22" s="45"/>
    </row>
    <row r="23" spans="1:31" s="15" customFormat="1">
      <c r="A23" s="89">
        <v>7</v>
      </c>
      <c r="B23" s="89" t="s">
        <v>166</v>
      </c>
      <c r="C23" s="89"/>
      <c r="D23" s="89">
        <v>10</v>
      </c>
      <c r="E23" s="89">
        <v>186991</v>
      </c>
      <c r="F23" s="89">
        <v>747964</v>
      </c>
      <c r="G23" s="89"/>
      <c r="H23" s="89"/>
      <c r="I23" s="89"/>
      <c r="J23" s="89">
        <v>70788</v>
      </c>
      <c r="K23" s="89">
        <v>93495</v>
      </c>
      <c r="L23" s="89"/>
      <c r="M23" s="89"/>
      <c r="N23" s="89"/>
      <c r="O23" s="89"/>
      <c r="P23" s="89"/>
      <c r="Q23" s="89"/>
      <c r="R23" s="89"/>
      <c r="S23" s="89"/>
      <c r="T23" s="89">
        <f t="shared" si="8"/>
        <v>164283</v>
      </c>
      <c r="U23" s="89"/>
      <c r="V23" s="89">
        <f>W23*4</f>
        <v>4396952</v>
      </c>
      <c r="W23" s="89">
        <f>T23+F23+E23</f>
        <v>1099238</v>
      </c>
      <c r="X23" s="89">
        <f t="shared" si="6"/>
        <v>13190856</v>
      </c>
      <c r="Y23" s="89">
        <v>200108</v>
      </c>
      <c r="Z23" s="89">
        <v>3002720</v>
      </c>
      <c r="AA23" s="89"/>
      <c r="AB23" s="257">
        <f t="shared" si="7"/>
        <v>16393684</v>
      </c>
      <c r="AC23" s="46"/>
      <c r="AD23" s="46"/>
      <c r="AE23" s="46"/>
    </row>
    <row r="24" spans="1:31" s="15" customFormat="1">
      <c r="A24" s="89">
        <v>8</v>
      </c>
      <c r="B24" s="89" t="s">
        <v>275</v>
      </c>
      <c r="C24" s="89"/>
      <c r="D24" s="89">
        <v>1</v>
      </c>
      <c r="E24" s="89">
        <v>20529</v>
      </c>
      <c r="F24" s="89">
        <v>82114</v>
      </c>
      <c r="G24" s="89"/>
      <c r="H24" s="89"/>
      <c r="I24" s="89"/>
      <c r="J24" s="89">
        <v>7079</v>
      </c>
      <c r="K24" s="89">
        <v>10264</v>
      </c>
      <c r="L24" s="89"/>
      <c r="M24" s="89"/>
      <c r="N24" s="89"/>
      <c r="O24" s="89"/>
      <c r="P24" s="89"/>
      <c r="Q24" s="89"/>
      <c r="R24" s="89"/>
      <c r="S24" s="89"/>
      <c r="T24" s="89">
        <f>SUM(G24:S24)</f>
        <v>17343</v>
      </c>
      <c r="U24" s="89"/>
      <c r="V24" s="89"/>
      <c r="W24" s="89">
        <f t="shared" ref="W24:W25" si="9">T24+F24+E24</f>
        <v>119986</v>
      </c>
      <c r="X24" s="89">
        <f>W24*5</f>
        <v>599930</v>
      </c>
      <c r="Y24" s="89"/>
      <c r="Z24" s="89"/>
      <c r="AA24" s="89"/>
      <c r="AB24" s="257">
        <f t="shared" si="7"/>
        <v>599930</v>
      </c>
      <c r="AC24" s="46"/>
      <c r="AD24" s="46"/>
      <c r="AE24" s="46"/>
    </row>
    <row r="25" spans="1:31" s="15" customFormat="1">
      <c r="A25" s="89">
        <v>9</v>
      </c>
      <c r="B25" s="89" t="s">
        <v>276</v>
      </c>
      <c r="C25" s="89"/>
      <c r="D25" s="89">
        <v>2</v>
      </c>
      <c r="E25" s="89">
        <v>15573</v>
      </c>
      <c r="F25" s="89">
        <v>113437</v>
      </c>
      <c r="G25" s="89"/>
      <c r="H25" s="89"/>
      <c r="I25" s="89"/>
      <c r="J25" s="89">
        <v>7079</v>
      </c>
      <c r="K25" s="89">
        <v>12901</v>
      </c>
      <c r="L25" s="89"/>
      <c r="M25" s="89"/>
      <c r="N25" s="89"/>
      <c r="O25" s="89"/>
      <c r="P25" s="89"/>
      <c r="Q25" s="89"/>
      <c r="R25" s="89"/>
      <c r="S25" s="89"/>
      <c r="T25" s="89">
        <f t="shared" si="8"/>
        <v>19980</v>
      </c>
      <c r="U25" s="89"/>
      <c r="V25" s="89"/>
      <c r="W25" s="89">
        <f t="shared" si="9"/>
        <v>148990</v>
      </c>
      <c r="X25" s="89">
        <f>W25*3</f>
        <v>446970</v>
      </c>
      <c r="Y25" s="89"/>
      <c r="Z25" s="89"/>
      <c r="AA25" s="89"/>
      <c r="AB25" s="257">
        <f t="shared" si="7"/>
        <v>446970</v>
      </c>
      <c r="AC25" s="46"/>
      <c r="AD25" s="46"/>
      <c r="AE25" s="46"/>
    </row>
    <row r="26" spans="1:31" s="15" customFormat="1">
      <c r="A26" s="89"/>
      <c r="B26" s="89" t="s">
        <v>37</v>
      </c>
      <c r="C26" s="89">
        <f>SUM(C20:C25)</f>
        <v>0</v>
      </c>
      <c r="D26" s="89">
        <f>SUM(D20:D25)</f>
        <v>76.5</v>
      </c>
      <c r="E26" s="89">
        <f>SUM(E20:E25)</f>
        <v>515217</v>
      </c>
      <c r="F26" s="89">
        <f>SUM(F20:F25)</f>
        <v>4810361</v>
      </c>
      <c r="G26" s="89">
        <f t="shared" ref="G26:AA26" si="10">SUM(G20:G25)</f>
        <v>0</v>
      </c>
      <c r="H26" s="89">
        <f t="shared" si="10"/>
        <v>0</v>
      </c>
      <c r="I26" s="89">
        <f t="shared" si="10"/>
        <v>5309</v>
      </c>
      <c r="J26" s="89">
        <f t="shared" si="10"/>
        <v>198206</v>
      </c>
      <c r="K26" s="89">
        <f t="shared" si="10"/>
        <v>532557</v>
      </c>
      <c r="L26" s="89">
        <f t="shared" si="10"/>
        <v>9290</v>
      </c>
      <c r="M26" s="89"/>
      <c r="N26" s="89"/>
      <c r="O26" s="89">
        <f t="shared" si="10"/>
        <v>242217</v>
      </c>
      <c r="P26" s="89">
        <f t="shared" si="10"/>
        <v>0</v>
      </c>
      <c r="Q26" s="89">
        <f t="shared" si="10"/>
        <v>65493</v>
      </c>
      <c r="R26" s="89">
        <f t="shared" si="10"/>
        <v>95563</v>
      </c>
      <c r="S26" s="89">
        <f t="shared" si="10"/>
        <v>0</v>
      </c>
      <c r="T26" s="89">
        <f t="shared" si="10"/>
        <v>1148635</v>
      </c>
      <c r="U26" s="89">
        <f t="shared" si="10"/>
        <v>0</v>
      </c>
      <c r="V26" s="89">
        <f t="shared" si="10"/>
        <v>16944260</v>
      </c>
      <c r="W26" s="89">
        <f t="shared" si="10"/>
        <v>6474213</v>
      </c>
      <c r="X26" s="89">
        <f t="shared" si="10"/>
        <v>75509744</v>
      </c>
      <c r="Y26" s="89">
        <f t="shared" si="10"/>
        <v>1194886</v>
      </c>
      <c r="Z26" s="89">
        <f t="shared" si="10"/>
        <v>5555423</v>
      </c>
      <c r="AA26" s="89">
        <f t="shared" si="10"/>
        <v>-1014884</v>
      </c>
      <c r="AB26" s="73">
        <f>SUM(AB20:AB25)</f>
        <v>81245169</v>
      </c>
      <c r="AC26" s="46"/>
      <c r="AD26" s="46"/>
      <c r="AE26" s="46"/>
    </row>
    <row r="27" spans="1:31" s="314" customFormat="1" ht="24" customHeight="1">
      <c r="A27" s="311"/>
      <c r="B27" s="311" t="s">
        <v>105</v>
      </c>
      <c r="C27" s="312">
        <f t="shared" ref="C27:AA27" si="11">(C19+C26)/1000</f>
        <v>0.27600000000000002</v>
      </c>
      <c r="D27" s="312">
        <f t="shared" si="11"/>
        <v>9.1819999999999999E-2</v>
      </c>
      <c r="E27" s="312">
        <f t="shared" si="11"/>
        <v>848.34299999999996</v>
      </c>
      <c r="F27" s="312">
        <f>(F19+F26)/1000</f>
        <v>6142.8670000000002</v>
      </c>
      <c r="G27" s="312">
        <f t="shared" si="11"/>
        <v>20.056999999999999</v>
      </c>
      <c r="H27" s="312">
        <f t="shared" si="11"/>
        <v>49.552</v>
      </c>
      <c r="I27" s="312">
        <f t="shared" si="11"/>
        <v>5.3090000000000002</v>
      </c>
      <c r="J27" s="312">
        <f t="shared" si="11"/>
        <v>306.74799999999999</v>
      </c>
      <c r="K27" s="312">
        <f t="shared" si="11"/>
        <v>699.12</v>
      </c>
      <c r="L27" s="312">
        <f t="shared" si="11"/>
        <v>9.2899999999999991</v>
      </c>
      <c r="M27" s="312"/>
      <c r="N27" s="312"/>
      <c r="O27" s="312">
        <f t="shared" si="11"/>
        <v>242.21700000000001</v>
      </c>
      <c r="P27" s="312">
        <f t="shared" si="11"/>
        <v>0</v>
      </c>
      <c r="Q27" s="312">
        <f t="shared" si="11"/>
        <v>65.492999999999995</v>
      </c>
      <c r="R27" s="312">
        <f t="shared" si="11"/>
        <v>95.563000000000002</v>
      </c>
      <c r="S27" s="312">
        <f t="shared" si="11"/>
        <v>0</v>
      </c>
      <c r="T27" s="312">
        <f t="shared" si="11"/>
        <v>1493.3489999999999</v>
      </c>
      <c r="U27" s="312">
        <f t="shared" si="11"/>
        <v>0</v>
      </c>
      <c r="V27" s="312">
        <f t="shared" si="11"/>
        <v>23687.9</v>
      </c>
      <c r="W27" s="312">
        <f>(W19+W26)/1000</f>
        <v>8484.5589999999993</v>
      </c>
      <c r="X27" s="312">
        <f t="shared" si="11"/>
        <v>99633.895999999993</v>
      </c>
      <c r="Y27" s="312">
        <f t="shared" si="11"/>
        <v>1194.886</v>
      </c>
      <c r="Z27" s="312">
        <f t="shared" si="11"/>
        <v>5555.4229999999998</v>
      </c>
      <c r="AA27" s="312">
        <f t="shared" si="11"/>
        <v>-1014.884</v>
      </c>
      <c r="AB27" s="312">
        <f>(AB19+AB26)/1000</f>
        <v>105369.321</v>
      </c>
      <c r="AC27" s="313"/>
      <c r="AD27" s="313"/>
      <c r="AE27" s="313"/>
    </row>
    <row r="28" spans="1:31" s="305" customFormat="1" ht="30" customHeight="1">
      <c r="A28" s="301"/>
      <c r="B28" s="301" t="s">
        <v>343</v>
      </c>
      <c r="C28" s="301"/>
      <c r="D28" s="301"/>
      <c r="E28" s="301">
        <v>22.829000000000001</v>
      </c>
      <c r="F28" s="302">
        <v>91.316999999999993</v>
      </c>
      <c r="G28" s="302"/>
      <c r="H28" s="302"/>
      <c r="I28" s="302"/>
      <c r="J28" s="302">
        <v>7.0789999999999997</v>
      </c>
      <c r="K28" s="302">
        <v>11.414999999999999</v>
      </c>
      <c r="L28" s="302"/>
      <c r="M28" s="302"/>
      <c r="N28" s="302"/>
      <c r="O28" s="302"/>
      <c r="P28" s="302"/>
      <c r="Q28" s="302"/>
      <c r="R28" s="302"/>
      <c r="S28" s="302"/>
      <c r="T28" s="301">
        <f>SUM(G28:R28)</f>
        <v>18.494</v>
      </c>
      <c r="U28" s="301"/>
      <c r="V28" s="301"/>
      <c r="W28" s="301">
        <f>T28+F28+E28</f>
        <v>132.63999999999999</v>
      </c>
      <c r="X28" s="301">
        <f t="shared" ref="X28" si="12">W28*12</f>
        <v>1591.6799999999998</v>
      </c>
      <c r="Y28" s="301"/>
      <c r="Z28" s="301"/>
      <c r="AA28" s="301"/>
      <c r="AB28" s="303">
        <f t="shared" ref="AB28" si="13">(X28+Y28+Z28+AA28)</f>
        <v>1591.6799999999998</v>
      </c>
      <c r="AC28" s="304"/>
      <c r="AD28" s="304"/>
      <c r="AE28" s="304"/>
    </row>
    <row r="29" spans="1:31" s="310" customFormat="1" ht="43.15" customHeight="1">
      <c r="A29" s="306"/>
      <c r="B29" s="307" t="s">
        <v>344</v>
      </c>
      <c r="C29" s="306"/>
      <c r="D29" s="306"/>
      <c r="E29" s="308">
        <f>E27-E28</f>
        <v>825.51400000000001</v>
      </c>
      <c r="F29" s="308">
        <f t="shared" ref="F29:AB29" si="14">F27-F28</f>
        <v>6051.55</v>
      </c>
      <c r="G29" s="308">
        <f t="shared" si="14"/>
        <v>20.056999999999999</v>
      </c>
      <c r="H29" s="308">
        <f t="shared" si="14"/>
        <v>49.552</v>
      </c>
      <c r="I29" s="308">
        <f t="shared" si="14"/>
        <v>5.3090000000000002</v>
      </c>
      <c r="J29" s="308">
        <f t="shared" si="14"/>
        <v>299.66899999999998</v>
      </c>
      <c r="K29" s="308">
        <f t="shared" si="14"/>
        <v>687.70500000000004</v>
      </c>
      <c r="L29" s="308">
        <f t="shared" si="14"/>
        <v>9.2899999999999991</v>
      </c>
      <c r="M29" s="308">
        <f t="shared" si="14"/>
        <v>0</v>
      </c>
      <c r="N29" s="308">
        <f t="shared" si="14"/>
        <v>0</v>
      </c>
      <c r="O29" s="308">
        <f t="shared" si="14"/>
        <v>242.21700000000001</v>
      </c>
      <c r="P29" s="308">
        <f t="shared" si="14"/>
        <v>0</v>
      </c>
      <c r="Q29" s="308">
        <f t="shared" si="14"/>
        <v>65.492999999999995</v>
      </c>
      <c r="R29" s="308">
        <f t="shared" si="14"/>
        <v>95.563000000000002</v>
      </c>
      <c r="S29" s="308">
        <f t="shared" si="14"/>
        <v>0</v>
      </c>
      <c r="T29" s="308">
        <f t="shared" si="14"/>
        <v>1474.855</v>
      </c>
      <c r="U29" s="308">
        <f t="shared" si="14"/>
        <v>0</v>
      </c>
      <c r="V29" s="308">
        <f t="shared" si="14"/>
        <v>23687.9</v>
      </c>
      <c r="W29" s="308">
        <f t="shared" si="14"/>
        <v>8351.9189999999999</v>
      </c>
      <c r="X29" s="308">
        <f t="shared" si="14"/>
        <v>98042.216</v>
      </c>
      <c r="Y29" s="308">
        <f t="shared" si="14"/>
        <v>1194.886</v>
      </c>
      <c r="Z29" s="308">
        <f t="shared" si="14"/>
        <v>5555.4229999999998</v>
      </c>
      <c r="AA29" s="308">
        <f t="shared" si="14"/>
        <v>-1014.884</v>
      </c>
      <c r="AB29" s="308">
        <f t="shared" si="14"/>
        <v>103777.641</v>
      </c>
      <c r="AC29" s="309"/>
      <c r="AD29" s="309"/>
      <c r="AE29" s="309"/>
    </row>
    <row r="30" spans="1:31" ht="73.150000000000006" customHeight="1">
      <c r="A30" s="33"/>
      <c r="B30" s="90" t="s">
        <v>199</v>
      </c>
      <c r="C30" s="82"/>
      <c r="D30" s="82"/>
      <c r="E30" s="82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1"/>
      <c r="AD30" s="31"/>
      <c r="AE30" s="31"/>
    </row>
    <row r="31" spans="1:31" ht="52.15" customHeight="1">
      <c r="A31" s="16"/>
      <c r="B31" s="16"/>
      <c r="C31" s="16"/>
      <c r="D31" s="16"/>
      <c r="E31" s="16"/>
      <c r="F31" s="43"/>
      <c r="G31" s="43"/>
      <c r="H31" s="43"/>
      <c r="I31" s="43"/>
      <c r="J31" s="43" t="s">
        <v>146</v>
      </c>
      <c r="K31" s="43"/>
      <c r="L31" s="43"/>
      <c r="M31" s="43"/>
      <c r="N31" s="43"/>
      <c r="O31" s="43"/>
      <c r="P31" s="33"/>
      <c r="Q31" s="33"/>
      <c r="R31" s="33"/>
      <c r="S31" s="33"/>
      <c r="T31" s="33"/>
      <c r="U31" s="33"/>
      <c r="V31" s="33"/>
      <c r="W31" s="33"/>
      <c r="X31" s="16"/>
      <c r="Y31" s="6"/>
      <c r="Z31" s="6"/>
      <c r="AA31" s="6"/>
      <c r="AB31" s="6"/>
    </row>
    <row r="32" spans="1:31" ht="18">
      <c r="A32" s="16"/>
      <c r="B32" s="44" t="s">
        <v>147</v>
      </c>
      <c r="C32" s="43"/>
      <c r="D32" s="43"/>
      <c r="E32" s="43"/>
      <c r="F32" s="43"/>
      <c r="G32" s="43"/>
      <c r="H32" s="43"/>
      <c r="I32" s="43"/>
      <c r="J32" s="43"/>
      <c r="K32" s="33"/>
      <c r="L32" s="33"/>
      <c r="M32" s="33"/>
      <c r="N32" s="33"/>
      <c r="O32" s="33"/>
      <c r="P32" s="33"/>
      <c r="Q32" s="33"/>
      <c r="R32" s="33"/>
      <c r="S32" s="33"/>
      <c r="T32" s="16"/>
      <c r="U32" s="6"/>
      <c r="V32" s="6"/>
      <c r="W32" s="6"/>
      <c r="X32" s="6"/>
      <c r="Y32" s="6"/>
      <c r="Z32" s="6"/>
      <c r="AA32" s="6"/>
      <c r="AB32" s="6"/>
    </row>
    <row r="33" spans="1:28" ht="15">
      <c r="A33" s="16"/>
      <c r="B33" s="411" t="s">
        <v>287</v>
      </c>
      <c r="C33" s="412"/>
      <c r="D33" s="412"/>
      <c r="E33" s="412"/>
      <c r="F33" s="412"/>
      <c r="G33" s="412"/>
      <c r="H33" s="412"/>
      <c r="I33" s="412"/>
      <c r="J33" s="412"/>
      <c r="K33" s="412"/>
      <c r="L33" s="412"/>
      <c r="M33" s="412"/>
      <c r="N33" s="412"/>
      <c r="O33" s="412"/>
      <c r="P33" s="412"/>
      <c r="Q33" s="412"/>
      <c r="R33" s="412"/>
      <c r="S33" s="412"/>
      <c r="T33" s="412"/>
      <c r="U33" s="6"/>
      <c r="V33" s="6"/>
      <c r="W33" s="6"/>
      <c r="X33" s="6"/>
      <c r="Y33" s="6"/>
      <c r="Z33" s="6"/>
      <c r="AA33" s="6"/>
      <c r="AB33" s="6"/>
    </row>
    <row r="34" spans="1:28" ht="54" customHeight="1">
      <c r="A34" s="16"/>
      <c r="B34" s="413"/>
      <c r="C34" s="413"/>
      <c r="D34" s="413"/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16"/>
      <c r="V34" s="16"/>
      <c r="W34" s="16"/>
      <c r="X34" s="16"/>
      <c r="Y34" s="6"/>
      <c r="Z34" s="6"/>
      <c r="AA34" s="6"/>
      <c r="AB34" s="6"/>
    </row>
    <row r="35" spans="1:28" ht="13.15" customHeight="1">
      <c r="A35" s="410" t="s">
        <v>144</v>
      </c>
      <c r="B35" s="410" t="s">
        <v>148</v>
      </c>
      <c r="C35" s="409" t="s">
        <v>149</v>
      </c>
      <c r="D35" s="409"/>
      <c r="E35" s="399" t="s">
        <v>10</v>
      </c>
      <c r="F35" s="399" t="s">
        <v>150</v>
      </c>
      <c r="G35" s="414" t="s">
        <v>42</v>
      </c>
      <c r="H35" s="415"/>
      <c r="I35" s="415"/>
      <c r="J35" s="415"/>
      <c r="K35" s="415"/>
      <c r="L35" s="415"/>
      <c r="M35" s="415"/>
      <c r="N35" s="415"/>
      <c r="O35" s="415"/>
      <c r="P35" s="415"/>
      <c r="Q35" s="415"/>
      <c r="R35" s="415"/>
      <c r="S35" s="416"/>
      <c r="T35" s="409" t="s">
        <v>151</v>
      </c>
      <c r="U35" s="410"/>
      <c r="V35" s="399" t="s">
        <v>167</v>
      </c>
      <c r="W35" s="399" t="s">
        <v>152</v>
      </c>
      <c r="X35" s="428" t="s">
        <v>222</v>
      </c>
      <c r="Y35" s="429" t="s">
        <v>167</v>
      </c>
      <c r="Z35" s="420"/>
      <c r="AA35" s="421"/>
      <c r="AB35" s="421"/>
    </row>
    <row r="36" spans="1:28">
      <c r="A36" s="410"/>
      <c r="B36" s="410"/>
      <c r="C36" s="409"/>
      <c r="D36" s="409"/>
      <c r="E36" s="400"/>
      <c r="F36" s="400"/>
      <c r="G36" s="422" t="s">
        <v>288</v>
      </c>
      <c r="H36" s="422" t="s">
        <v>290</v>
      </c>
      <c r="I36" s="424" t="s">
        <v>155</v>
      </c>
      <c r="J36" s="424" t="s">
        <v>14</v>
      </c>
      <c r="K36" s="426">
        <v>0.1</v>
      </c>
      <c r="L36" s="423" t="s">
        <v>156</v>
      </c>
      <c r="M36" s="255"/>
      <c r="N36" s="255"/>
      <c r="O36" s="423" t="s">
        <v>157</v>
      </c>
      <c r="P36" s="427" t="s">
        <v>269</v>
      </c>
      <c r="Q36" s="424" t="s">
        <v>218</v>
      </c>
      <c r="R36" s="423" t="s">
        <v>30</v>
      </c>
      <c r="S36" s="429" t="s">
        <v>283</v>
      </c>
      <c r="T36" s="409"/>
      <c r="U36" s="410"/>
      <c r="V36" s="400"/>
      <c r="W36" s="400"/>
      <c r="X36" s="400"/>
      <c r="Y36" s="409"/>
      <c r="Z36" s="420"/>
      <c r="AA36" s="421"/>
      <c r="AB36" s="421"/>
    </row>
    <row r="37" spans="1:28" ht="52.9" customHeight="1">
      <c r="A37" s="410"/>
      <c r="B37" s="410"/>
      <c r="C37" s="243" t="s">
        <v>158</v>
      </c>
      <c r="D37" s="243" t="s">
        <v>159</v>
      </c>
      <c r="E37" s="401"/>
      <c r="F37" s="401"/>
      <c r="G37" s="423"/>
      <c r="H37" s="423"/>
      <c r="I37" s="425"/>
      <c r="J37" s="425"/>
      <c r="K37" s="423"/>
      <c r="L37" s="423"/>
      <c r="M37" s="255"/>
      <c r="N37" s="255"/>
      <c r="O37" s="423"/>
      <c r="P37" s="427"/>
      <c r="Q37" s="425"/>
      <c r="R37" s="423"/>
      <c r="S37" s="409"/>
      <c r="T37" s="409"/>
      <c r="U37" s="410"/>
      <c r="V37" s="401"/>
      <c r="W37" s="401"/>
      <c r="X37" s="401"/>
      <c r="Y37" s="409"/>
      <c r="Z37" s="420"/>
      <c r="AA37" s="421"/>
      <c r="AB37" s="421"/>
    </row>
    <row r="38" spans="1:28">
      <c r="A38" s="4">
        <v>1</v>
      </c>
      <c r="B38" s="242" t="s">
        <v>288</v>
      </c>
      <c r="C38" s="4">
        <v>125</v>
      </c>
      <c r="D38" s="4">
        <v>6.9</v>
      </c>
      <c r="E38" s="4"/>
      <c r="F38" s="4"/>
      <c r="G38" s="4">
        <v>182644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>
        <f>SUM(G38:R38)</f>
        <v>182644</v>
      </c>
      <c r="U38" s="4"/>
      <c r="V38" s="4">
        <f>W38*4</f>
        <v>730576</v>
      </c>
      <c r="W38" s="4">
        <f>T38+F38+E38</f>
        <v>182644</v>
      </c>
      <c r="X38" s="4">
        <f>W38*12</f>
        <v>2191728</v>
      </c>
      <c r="Y38" s="4">
        <f>W38*4</f>
        <v>730576</v>
      </c>
      <c r="Z38" s="32"/>
      <c r="AA38" s="32"/>
      <c r="AB38" s="32"/>
    </row>
    <row r="39" spans="1:28">
      <c r="A39" s="4">
        <v>2</v>
      </c>
      <c r="B39" s="242" t="s">
        <v>289</v>
      </c>
      <c r="C39" s="4">
        <v>17</v>
      </c>
      <c r="D39" s="4">
        <v>0.94</v>
      </c>
      <c r="E39" s="4"/>
      <c r="F39" s="4"/>
      <c r="G39" s="4"/>
      <c r="H39" s="4">
        <v>31443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>
        <f>SUM(G39:R39)</f>
        <v>31443</v>
      </c>
      <c r="U39" s="4"/>
      <c r="V39" s="4">
        <f>W39*4</f>
        <v>125772</v>
      </c>
      <c r="W39" s="4">
        <f>T39+F39+E39</f>
        <v>31443</v>
      </c>
      <c r="X39" s="4">
        <f>W39*12</f>
        <v>377316</v>
      </c>
      <c r="Y39" s="4">
        <f>W39*4</f>
        <v>125772</v>
      </c>
      <c r="Z39" s="32"/>
      <c r="AA39" s="32"/>
      <c r="AB39" s="32"/>
    </row>
    <row r="40" spans="1:28">
      <c r="A40" s="89"/>
      <c r="B40" s="89" t="s">
        <v>162</v>
      </c>
      <c r="C40" s="89">
        <f t="shared" ref="C40:Y40" si="15">SUM(C38:C39)</f>
        <v>142</v>
      </c>
      <c r="D40" s="89">
        <f t="shared" si="15"/>
        <v>7.84</v>
      </c>
      <c r="E40" s="89">
        <f t="shared" si="15"/>
        <v>0</v>
      </c>
      <c r="F40" s="89">
        <f t="shared" si="15"/>
        <v>0</v>
      </c>
      <c r="G40" s="89">
        <f t="shared" si="15"/>
        <v>182644</v>
      </c>
      <c r="H40" s="89">
        <f t="shared" si="15"/>
        <v>31443</v>
      </c>
      <c r="I40" s="89">
        <f t="shared" si="15"/>
        <v>0</v>
      </c>
      <c r="J40" s="89">
        <f t="shared" si="15"/>
        <v>0</v>
      </c>
      <c r="K40" s="89">
        <f t="shared" si="15"/>
        <v>0</v>
      </c>
      <c r="L40" s="89">
        <f t="shared" si="15"/>
        <v>0</v>
      </c>
      <c r="M40" s="89"/>
      <c r="N40" s="89"/>
      <c r="O40" s="89">
        <f t="shared" si="15"/>
        <v>0</v>
      </c>
      <c r="P40" s="89">
        <f t="shared" si="15"/>
        <v>0</v>
      </c>
      <c r="Q40" s="89">
        <f t="shared" si="15"/>
        <v>0</v>
      </c>
      <c r="R40" s="89">
        <f t="shared" si="15"/>
        <v>0</v>
      </c>
      <c r="S40" s="89">
        <f t="shared" si="15"/>
        <v>0</v>
      </c>
      <c r="T40" s="89">
        <f t="shared" si="15"/>
        <v>214087</v>
      </c>
      <c r="U40" s="89">
        <f t="shared" si="15"/>
        <v>0</v>
      </c>
      <c r="V40" s="89">
        <f t="shared" si="15"/>
        <v>856348</v>
      </c>
      <c r="W40" s="89">
        <f t="shared" si="15"/>
        <v>214087</v>
      </c>
      <c r="X40" s="89">
        <f t="shared" si="15"/>
        <v>2569044</v>
      </c>
      <c r="Y40" s="89">
        <f t="shared" si="15"/>
        <v>856348</v>
      </c>
      <c r="Z40" s="46"/>
      <c r="AA40" s="46"/>
      <c r="AB40" s="46"/>
    </row>
    <row r="41" spans="1:28" ht="18">
      <c r="A41" s="33"/>
      <c r="B41" s="33"/>
      <c r="C41" s="33"/>
      <c r="D41" s="33"/>
      <c r="E41" s="33"/>
      <c r="F41" s="417"/>
      <c r="G41" s="417"/>
      <c r="H41" s="417"/>
      <c r="I41" s="417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  <c r="W41" s="417"/>
      <c r="X41" s="419"/>
      <c r="Y41" s="419"/>
      <c r="Z41" s="33"/>
      <c r="AA41" s="33"/>
      <c r="AB41" s="124"/>
    </row>
    <row r="42" spans="1:28" ht="18">
      <c r="A42" s="33"/>
      <c r="B42" s="90" t="s">
        <v>199</v>
      </c>
      <c r="C42" s="82"/>
      <c r="D42" s="82"/>
      <c r="E42" s="33"/>
      <c r="F42" s="418"/>
      <c r="G42" s="418"/>
      <c r="H42" s="418"/>
      <c r="I42" s="418"/>
      <c r="J42" s="418"/>
      <c r="K42" s="418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</row>
    <row r="43" spans="1:28">
      <c r="A43" s="6"/>
      <c r="B43" s="6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8">
      <c r="A44" s="16"/>
      <c r="B44" s="16"/>
      <c r="C44" s="16"/>
      <c r="D44" s="16"/>
      <c r="E44" s="16"/>
      <c r="F44" s="43"/>
      <c r="G44" s="43"/>
      <c r="H44" s="43"/>
      <c r="I44" s="43"/>
      <c r="J44" s="43" t="s">
        <v>146</v>
      </c>
      <c r="K44" s="43"/>
      <c r="L44" s="43"/>
      <c r="M44" s="43"/>
      <c r="N44" s="43"/>
      <c r="O44" s="43"/>
      <c r="P44" s="33"/>
      <c r="Q44" s="33"/>
      <c r="R44" s="33"/>
      <c r="S44" s="33"/>
      <c r="T44" s="33"/>
      <c r="U44" s="33"/>
      <c r="V44" s="33"/>
      <c r="W44" s="33"/>
      <c r="X44" s="16"/>
      <c r="Y44" s="6"/>
      <c r="Z44" s="6"/>
      <c r="AA44" s="6"/>
      <c r="AB44" s="6"/>
    </row>
    <row r="45" spans="1:28" ht="18">
      <c r="A45" s="16"/>
      <c r="B45" s="44" t="s">
        <v>147</v>
      </c>
      <c r="C45" s="43"/>
      <c r="D45" s="43"/>
      <c r="E45" s="43"/>
      <c r="F45" s="43"/>
      <c r="G45" s="43"/>
      <c r="H45" s="43"/>
      <c r="I45" s="43"/>
      <c r="J45" s="43"/>
      <c r="K45" s="33"/>
      <c r="L45" s="33"/>
      <c r="M45" s="33"/>
      <c r="N45" s="33"/>
      <c r="O45" s="33"/>
      <c r="P45" s="33"/>
      <c r="Q45" s="33"/>
      <c r="R45" s="33"/>
      <c r="S45" s="33"/>
      <c r="T45" s="16"/>
      <c r="U45" s="6"/>
      <c r="V45" s="6"/>
      <c r="W45" s="6"/>
      <c r="X45" s="6"/>
      <c r="Y45" s="6"/>
      <c r="Z45" s="6"/>
      <c r="AA45" s="6"/>
      <c r="AB45" s="6"/>
    </row>
    <row r="46" spans="1:28" ht="15">
      <c r="A46" s="16"/>
      <c r="B46" s="411" t="s">
        <v>341</v>
      </c>
      <c r="C46" s="412"/>
      <c r="D46" s="412"/>
      <c r="E46" s="412"/>
      <c r="F46" s="412"/>
      <c r="G46" s="412"/>
      <c r="H46" s="412"/>
      <c r="I46" s="412"/>
      <c r="J46" s="412"/>
      <c r="K46" s="412"/>
      <c r="L46" s="412"/>
      <c r="M46" s="412"/>
      <c r="N46" s="412"/>
      <c r="O46" s="412"/>
      <c r="P46" s="412"/>
      <c r="Q46" s="412"/>
      <c r="R46" s="412"/>
      <c r="S46" s="412"/>
      <c r="T46" s="412"/>
      <c r="U46" s="6"/>
      <c r="V46" s="6"/>
      <c r="W46" s="6"/>
      <c r="X46" s="6"/>
      <c r="Y46" s="6"/>
      <c r="Z46" s="6"/>
      <c r="AA46" s="6"/>
      <c r="AB46" s="6"/>
    </row>
    <row r="47" spans="1:28" ht="49.9" customHeight="1">
      <c r="A47" s="16"/>
      <c r="B47" s="413"/>
      <c r="C47" s="413"/>
      <c r="D47" s="413"/>
      <c r="E47" s="413"/>
      <c r="F47" s="413"/>
      <c r="G47" s="413"/>
      <c r="H47" s="413"/>
      <c r="I47" s="413"/>
      <c r="J47" s="413"/>
      <c r="K47" s="413"/>
      <c r="L47" s="413"/>
      <c r="M47" s="413"/>
      <c r="N47" s="413"/>
      <c r="O47" s="413"/>
      <c r="P47" s="413"/>
      <c r="Q47" s="413"/>
      <c r="R47" s="413"/>
      <c r="S47" s="413"/>
      <c r="T47" s="413"/>
      <c r="U47" s="16"/>
      <c r="V47" s="16"/>
      <c r="W47" s="16"/>
      <c r="X47" s="16" t="s">
        <v>345</v>
      </c>
      <c r="Y47" s="6"/>
      <c r="Z47" s="6"/>
      <c r="AA47" s="6"/>
      <c r="AB47" s="6"/>
    </row>
    <row r="48" spans="1:28">
      <c r="A48" s="410" t="s">
        <v>144</v>
      </c>
      <c r="B48" s="410" t="s">
        <v>148</v>
      </c>
      <c r="C48" s="409" t="s">
        <v>149</v>
      </c>
      <c r="D48" s="409"/>
      <c r="E48" s="399" t="s">
        <v>10</v>
      </c>
      <c r="F48" s="399" t="s">
        <v>150</v>
      </c>
      <c r="G48" s="414" t="s">
        <v>42</v>
      </c>
      <c r="H48" s="415"/>
      <c r="I48" s="415"/>
      <c r="J48" s="415"/>
      <c r="K48" s="415"/>
      <c r="L48" s="415"/>
      <c r="M48" s="415"/>
      <c r="N48" s="415"/>
      <c r="O48" s="415"/>
      <c r="P48" s="415"/>
      <c r="Q48" s="415"/>
      <c r="R48" s="415"/>
      <c r="S48" s="416"/>
      <c r="T48" s="409" t="s">
        <v>151</v>
      </c>
      <c r="U48" s="410"/>
      <c r="V48" s="399" t="s">
        <v>167</v>
      </c>
      <c r="W48" s="399" t="s">
        <v>152</v>
      </c>
      <c r="X48" s="399" t="s">
        <v>222</v>
      </c>
      <c r="Y48" s="409" t="s">
        <v>265</v>
      </c>
      <c r="Z48" s="399" t="s">
        <v>223</v>
      </c>
      <c r="AA48" s="402" t="s">
        <v>266</v>
      </c>
      <c r="AB48" s="402" t="s">
        <v>339</v>
      </c>
    </row>
    <row r="49" spans="1:28">
      <c r="A49" s="410"/>
      <c r="B49" s="410"/>
      <c r="C49" s="409"/>
      <c r="D49" s="409"/>
      <c r="E49" s="400"/>
      <c r="F49" s="400"/>
      <c r="G49" s="405" t="s">
        <v>153</v>
      </c>
      <c r="H49" s="405" t="s">
        <v>154</v>
      </c>
      <c r="I49" s="406" t="s">
        <v>155</v>
      </c>
      <c r="J49" s="406" t="s">
        <v>14</v>
      </c>
      <c r="K49" s="408">
        <v>0.1</v>
      </c>
      <c r="L49" s="405" t="s">
        <v>156</v>
      </c>
      <c r="M49" s="406" t="s">
        <v>301</v>
      </c>
      <c r="N49" s="406"/>
      <c r="O49" s="405" t="s">
        <v>157</v>
      </c>
      <c r="P49" s="405" t="s">
        <v>340</v>
      </c>
      <c r="Q49" s="406" t="s">
        <v>218</v>
      </c>
      <c r="R49" s="405" t="s">
        <v>30</v>
      </c>
      <c r="S49" s="409" t="s">
        <v>283</v>
      </c>
      <c r="T49" s="409"/>
      <c r="U49" s="410"/>
      <c r="V49" s="400"/>
      <c r="W49" s="400"/>
      <c r="X49" s="400"/>
      <c r="Y49" s="409"/>
      <c r="Z49" s="400"/>
      <c r="AA49" s="403"/>
      <c r="AB49" s="403"/>
    </row>
    <row r="50" spans="1:28">
      <c r="A50" s="410"/>
      <c r="B50" s="410"/>
      <c r="C50" s="300" t="s">
        <v>158</v>
      </c>
      <c r="D50" s="300" t="s">
        <v>159</v>
      </c>
      <c r="E50" s="401"/>
      <c r="F50" s="401"/>
      <c r="G50" s="405"/>
      <c r="H50" s="405"/>
      <c r="I50" s="407"/>
      <c r="J50" s="407"/>
      <c r="K50" s="405"/>
      <c r="L50" s="405"/>
      <c r="M50" s="407"/>
      <c r="N50" s="407"/>
      <c r="O50" s="405"/>
      <c r="P50" s="405"/>
      <c r="Q50" s="407"/>
      <c r="R50" s="405"/>
      <c r="S50" s="409"/>
      <c r="T50" s="409"/>
      <c r="U50" s="410"/>
      <c r="V50" s="401"/>
      <c r="W50" s="401"/>
      <c r="X50" s="401"/>
      <c r="Y50" s="409"/>
      <c r="Z50" s="401"/>
      <c r="AA50" s="404"/>
      <c r="AB50" s="404"/>
    </row>
    <row r="51" spans="1:28" ht="29.45" customHeight="1">
      <c r="A51" s="301"/>
      <c r="B51" s="301" t="s">
        <v>343</v>
      </c>
      <c r="C51" s="301"/>
      <c r="D51" s="301"/>
      <c r="E51" s="301">
        <v>22.829000000000001</v>
      </c>
      <c r="F51" s="302">
        <v>91.316999999999993</v>
      </c>
      <c r="G51" s="302"/>
      <c r="H51" s="302"/>
      <c r="I51" s="302"/>
      <c r="J51" s="302">
        <v>7.0789999999999997</v>
      </c>
      <c r="K51" s="302">
        <v>11.414999999999999</v>
      </c>
      <c r="L51" s="302"/>
      <c r="M51" s="302"/>
      <c r="N51" s="302"/>
      <c r="O51" s="302"/>
      <c r="P51" s="302"/>
      <c r="Q51" s="302"/>
      <c r="R51" s="302"/>
      <c r="S51" s="302"/>
      <c r="T51" s="301">
        <f>SUM(G51:R51)</f>
        <v>18.494</v>
      </c>
      <c r="U51" s="301"/>
      <c r="V51" s="301"/>
      <c r="W51" s="301">
        <f>T51+F51+E51</f>
        <v>132.63999999999999</v>
      </c>
      <c r="X51" s="301">
        <f t="shared" ref="X51" si="16">W51*12</f>
        <v>1591.6799999999998</v>
      </c>
      <c r="Y51" s="301"/>
      <c r="Z51" s="301"/>
      <c r="AA51" s="301"/>
      <c r="AB51" s="303">
        <f t="shared" ref="AB51" si="17">(X51+Y51+Z51+AA51)</f>
        <v>1591.6799999999998</v>
      </c>
    </row>
    <row r="52" spans="1:28" ht="46.15" customHeight="1">
      <c r="A52" s="33"/>
      <c r="B52" s="90" t="s">
        <v>199</v>
      </c>
      <c r="C52" s="82"/>
      <c r="D52" s="82"/>
      <c r="E52" s="82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</row>
  </sheetData>
  <mergeCells count="87">
    <mergeCell ref="G13:G14"/>
    <mergeCell ref="H13:H14"/>
    <mergeCell ref="I13:I14"/>
    <mergeCell ref="J13:J14"/>
    <mergeCell ref="K13:K14"/>
    <mergeCell ref="U12:U14"/>
    <mergeCell ref="V12:V14"/>
    <mergeCell ref="W12:W14"/>
    <mergeCell ref="X12:X14"/>
    <mergeCell ref="Y12:Y14"/>
    <mergeCell ref="B10:T11"/>
    <mergeCell ref="A12:A14"/>
    <mergeCell ref="B12:B14"/>
    <mergeCell ref="C12:D13"/>
    <mergeCell ref="E12:E14"/>
    <mergeCell ref="F12:F14"/>
    <mergeCell ref="G12:S12"/>
    <mergeCell ref="T12:T14"/>
    <mergeCell ref="M13:M14"/>
    <mergeCell ref="N13:N14"/>
    <mergeCell ref="L13:L14"/>
    <mergeCell ref="O13:O14"/>
    <mergeCell ref="P13:P14"/>
    <mergeCell ref="Q13:Q14"/>
    <mergeCell ref="R13:R14"/>
    <mergeCell ref="S13:S14"/>
    <mergeCell ref="W35:W37"/>
    <mergeCell ref="X35:X37"/>
    <mergeCell ref="Y35:Y37"/>
    <mergeCell ref="B33:T34"/>
    <mergeCell ref="A35:A37"/>
    <mergeCell ref="B35:B37"/>
    <mergeCell ref="C35:D36"/>
    <mergeCell ref="E35:E37"/>
    <mergeCell ref="F35:F37"/>
    <mergeCell ref="G35:S35"/>
    <mergeCell ref="T35:T37"/>
    <mergeCell ref="Q36:Q37"/>
    <mergeCell ref="R36:R37"/>
    <mergeCell ref="S36:S37"/>
    <mergeCell ref="U35:U37"/>
    <mergeCell ref="V35:V37"/>
    <mergeCell ref="F41:K42"/>
    <mergeCell ref="L41:Y41"/>
    <mergeCell ref="AB12:AB14"/>
    <mergeCell ref="AA12:AA14"/>
    <mergeCell ref="Z12:Z14"/>
    <mergeCell ref="Z35:Z37"/>
    <mergeCell ref="AA35:AA37"/>
    <mergeCell ref="AB35:AB37"/>
    <mergeCell ref="G36:G37"/>
    <mergeCell ref="H36:H37"/>
    <mergeCell ref="I36:I37"/>
    <mergeCell ref="J36:J37"/>
    <mergeCell ref="K36:K37"/>
    <mergeCell ref="L36:L37"/>
    <mergeCell ref="O36:O37"/>
    <mergeCell ref="P36:P37"/>
    <mergeCell ref="B46:T47"/>
    <mergeCell ref="A48:A50"/>
    <mergeCell ref="B48:B50"/>
    <mergeCell ref="C48:D49"/>
    <mergeCell ref="E48:E50"/>
    <mergeCell ref="F48:F50"/>
    <mergeCell ref="G48:S48"/>
    <mergeCell ref="T48:T50"/>
    <mergeCell ref="U48:U50"/>
    <mergeCell ref="V48:V50"/>
    <mergeCell ref="W48:W50"/>
    <mergeCell ref="X48:X50"/>
    <mergeCell ref="Y48:Y50"/>
    <mergeCell ref="Z48:Z50"/>
    <mergeCell ref="AA48:AA50"/>
    <mergeCell ref="AB48:AB50"/>
    <mergeCell ref="G49:G50"/>
    <mergeCell ref="H49:H50"/>
    <mergeCell ref="I49:I50"/>
    <mergeCell ref="J49:J50"/>
    <mergeCell ref="K49:K50"/>
    <mergeCell ref="L49:L50"/>
    <mergeCell ref="M49:M50"/>
    <mergeCell ref="N49:N50"/>
    <mergeCell ref="O49:O50"/>
    <mergeCell ref="P49:P50"/>
    <mergeCell ref="Q49:Q50"/>
    <mergeCell ref="R49:R50"/>
    <mergeCell ref="S49:S5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39997558519241921"/>
    <pageSetUpPr fitToPage="1"/>
  </sheetPr>
  <dimension ref="B4:L62"/>
  <sheetViews>
    <sheetView topLeftCell="A5" workbookViewId="0">
      <selection activeCell="L25" sqref="L25"/>
    </sheetView>
  </sheetViews>
  <sheetFormatPr defaultRowHeight="12.75"/>
  <cols>
    <col min="12" max="12" width="9.5703125" bestFit="1" customWidth="1"/>
  </cols>
  <sheetData>
    <row r="4" spans="2:11">
      <c r="B4" s="17"/>
      <c r="C4" s="41"/>
      <c r="D4" s="41"/>
      <c r="E4" s="41" t="s">
        <v>120</v>
      </c>
      <c r="F4" s="41"/>
      <c r="G4" s="41"/>
      <c r="H4" s="41"/>
      <c r="I4" s="41"/>
      <c r="J4" s="17"/>
      <c r="K4" s="17"/>
    </row>
    <row r="5" spans="2:11">
      <c r="B5" s="17"/>
      <c r="C5" s="41" t="s">
        <v>196</v>
      </c>
      <c r="D5" s="41"/>
      <c r="E5" s="41"/>
      <c r="F5" s="41"/>
      <c r="G5" s="41"/>
      <c r="H5" s="41"/>
      <c r="I5" s="41"/>
      <c r="J5" s="17"/>
      <c r="K5" s="17"/>
    </row>
    <row r="6" spans="2:11" ht="29.25" customHeight="1">
      <c r="B6" s="17"/>
      <c r="C6" s="41"/>
      <c r="D6" s="41" t="s">
        <v>295</v>
      </c>
      <c r="E6" s="41"/>
      <c r="F6" s="41"/>
      <c r="G6" s="41"/>
      <c r="H6" s="41"/>
      <c r="I6" s="41"/>
      <c r="J6" s="17"/>
      <c r="K6" s="17"/>
    </row>
    <row r="7" spans="2:11" ht="17.25" customHeight="1">
      <c r="B7" s="17"/>
      <c r="C7" s="41" t="s">
        <v>224</v>
      </c>
      <c r="D7" s="41"/>
      <c r="E7" s="41"/>
      <c r="F7" s="41"/>
      <c r="G7" s="41"/>
      <c r="H7" s="41"/>
      <c r="I7" s="41"/>
      <c r="J7" s="17"/>
      <c r="K7" s="17"/>
    </row>
    <row r="8" spans="2:11" ht="15" customHeight="1">
      <c r="B8" s="17"/>
      <c r="C8" s="41" t="s">
        <v>279</v>
      </c>
      <c r="D8" s="41"/>
      <c r="E8" s="41"/>
      <c r="F8" s="41"/>
      <c r="G8" s="41"/>
      <c r="H8" s="41"/>
      <c r="I8" s="41"/>
      <c r="J8" s="17"/>
      <c r="K8" s="17"/>
    </row>
    <row r="9" spans="2:11">
      <c r="B9" s="17"/>
      <c r="C9" s="41" t="s">
        <v>274</v>
      </c>
      <c r="D9" s="41"/>
      <c r="E9" s="41"/>
      <c r="F9" s="41"/>
      <c r="G9" s="41"/>
      <c r="H9" s="41"/>
      <c r="I9" s="41"/>
      <c r="J9" s="17"/>
      <c r="K9" s="17"/>
    </row>
    <row r="10" spans="2:11" ht="16.5" customHeight="1">
      <c r="B10" s="17"/>
      <c r="C10" s="17" t="s">
        <v>280</v>
      </c>
      <c r="D10" s="17"/>
      <c r="E10" s="17"/>
      <c r="F10" s="17"/>
      <c r="G10" s="17"/>
      <c r="H10" s="17"/>
      <c r="I10" s="17"/>
      <c r="J10" s="17"/>
      <c r="K10" s="17"/>
    </row>
    <row r="11" spans="2:11">
      <c r="B11" s="17"/>
      <c r="C11" s="17" t="s">
        <v>296</v>
      </c>
      <c r="D11" s="17"/>
      <c r="E11" s="17"/>
      <c r="F11" s="17"/>
      <c r="G11" s="17"/>
      <c r="H11" s="17"/>
      <c r="I11" s="17"/>
      <c r="J11" s="17"/>
      <c r="K11" s="17"/>
    </row>
    <row r="12" spans="2:11">
      <c r="B12" s="17"/>
      <c r="C12" s="105" t="s">
        <v>263</v>
      </c>
      <c r="D12" s="17"/>
      <c r="E12" s="17"/>
      <c r="F12" s="17"/>
      <c r="G12" s="17"/>
      <c r="H12" s="17"/>
      <c r="I12" s="17"/>
      <c r="J12" s="17"/>
      <c r="K12" s="17"/>
    </row>
    <row r="13" spans="2:11">
      <c r="B13" s="17"/>
      <c r="C13" s="17" t="s">
        <v>297</v>
      </c>
      <c r="D13" s="17"/>
      <c r="E13" s="17"/>
      <c r="F13" s="17"/>
      <c r="G13" s="17"/>
      <c r="H13" s="17"/>
      <c r="I13" s="17"/>
      <c r="J13" s="17"/>
      <c r="K13" s="17"/>
    </row>
    <row r="14" spans="2:11"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2:11">
      <c r="B15" s="17"/>
      <c r="C15" s="41" t="s">
        <v>225</v>
      </c>
      <c r="D15" s="17"/>
      <c r="E15" s="17"/>
      <c r="F15" s="17"/>
      <c r="G15" s="17"/>
      <c r="H15" s="17"/>
      <c r="I15" s="17"/>
      <c r="J15" s="17"/>
      <c r="K15" s="17"/>
    </row>
    <row r="16" spans="2:11" ht="15" customHeight="1">
      <c r="B16" s="17"/>
      <c r="C16" s="41"/>
      <c r="D16" s="17"/>
      <c r="E16" s="17"/>
      <c r="F16" s="17"/>
      <c r="G16" s="17"/>
      <c r="H16" s="17"/>
      <c r="I16" s="17"/>
      <c r="J16" s="17"/>
      <c r="K16" s="17"/>
    </row>
    <row r="17" spans="2:12" ht="15" customHeight="1">
      <c r="B17" s="17"/>
      <c r="C17" s="41" t="s">
        <v>337</v>
      </c>
      <c r="D17" s="17"/>
      <c r="E17" s="17"/>
      <c r="F17" s="17"/>
      <c r="G17" s="17"/>
      <c r="H17" s="17"/>
      <c r="I17" s="17"/>
      <c r="J17" s="17"/>
      <c r="K17" s="17"/>
    </row>
    <row r="18" spans="2:12">
      <c r="B18" s="17"/>
      <c r="C18" s="41" t="s">
        <v>281</v>
      </c>
      <c r="D18" s="17"/>
      <c r="E18" s="17"/>
      <c r="F18" s="17"/>
      <c r="G18" s="17"/>
      <c r="H18" s="17"/>
      <c r="I18" s="17"/>
      <c r="J18" s="17"/>
      <c r="K18" s="17"/>
    </row>
    <row r="19" spans="2:12">
      <c r="B19" s="17"/>
      <c r="C19" s="17" t="s">
        <v>264</v>
      </c>
      <c r="D19" s="17"/>
      <c r="E19" s="17"/>
      <c r="F19" s="17"/>
      <c r="G19" s="17"/>
      <c r="H19" s="17"/>
      <c r="I19" s="17"/>
      <c r="J19" s="17"/>
      <c r="K19" s="17"/>
    </row>
    <row r="20" spans="2:12">
      <c r="B20" s="17"/>
      <c r="C20" s="17" t="s">
        <v>298</v>
      </c>
      <c r="D20" s="17"/>
      <c r="E20" s="17"/>
      <c r="F20" s="17"/>
      <c r="G20" s="17"/>
      <c r="H20" s="17"/>
      <c r="I20" s="17"/>
      <c r="J20" s="17"/>
      <c r="K20" s="17"/>
    </row>
    <row r="21" spans="2:12">
      <c r="B21" s="17"/>
      <c r="C21" s="17" t="s">
        <v>299</v>
      </c>
      <c r="D21" s="17"/>
      <c r="E21" s="17"/>
      <c r="F21" s="17"/>
      <c r="G21" s="17"/>
      <c r="H21" s="17"/>
      <c r="I21" s="17"/>
      <c r="J21" s="17"/>
      <c r="K21" s="17"/>
    </row>
    <row r="22" spans="2:12"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2:12"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2:12" ht="51">
      <c r="B24" s="74"/>
      <c r="C24" s="18" t="s">
        <v>123</v>
      </c>
      <c r="D24" s="432" t="s">
        <v>124</v>
      </c>
      <c r="E24" s="433"/>
      <c r="F24" s="76" t="s">
        <v>172</v>
      </c>
      <c r="G24" s="76" t="s">
        <v>227</v>
      </c>
      <c r="H24" s="18" t="s">
        <v>125</v>
      </c>
      <c r="I24" s="18" t="s">
        <v>216</v>
      </c>
      <c r="J24" s="18" t="s">
        <v>217</v>
      </c>
      <c r="K24" s="18" t="s">
        <v>9</v>
      </c>
      <c r="L24" s="25" t="s">
        <v>235</v>
      </c>
    </row>
    <row r="25" spans="2:12">
      <c r="B25" s="23"/>
      <c r="C25" s="19">
        <v>1</v>
      </c>
      <c r="D25" s="434" t="s">
        <v>228</v>
      </c>
      <c r="E25" s="435"/>
      <c r="F25" s="75">
        <v>49021</v>
      </c>
      <c r="G25" s="75">
        <v>165.5</v>
      </c>
      <c r="H25" s="77">
        <f>(F25/G25)</f>
        <v>296.19939577039275</v>
      </c>
      <c r="I25" s="20">
        <v>498</v>
      </c>
      <c r="J25" s="20">
        <v>1.5</v>
      </c>
      <c r="K25" s="21">
        <f>H25*I25*J25</f>
        <v>221260.9486404834</v>
      </c>
      <c r="L25" s="72">
        <f>K25/12</f>
        <v>18438.41238670695</v>
      </c>
    </row>
    <row r="26" spans="2:12" ht="13.5" thickBot="1">
      <c r="B26" s="23"/>
      <c r="C26" s="19">
        <v>2</v>
      </c>
      <c r="D26" s="436" t="s">
        <v>176</v>
      </c>
      <c r="E26" s="437"/>
      <c r="F26" s="88">
        <v>50259</v>
      </c>
      <c r="G26" s="88">
        <v>149</v>
      </c>
      <c r="H26" s="77">
        <f>(F26/G26)</f>
        <v>337.30872483221475</v>
      </c>
      <c r="I26" s="20">
        <v>744</v>
      </c>
      <c r="J26" s="20">
        <v>1.5</v>
      </c>
      <c r="K26" s="21">
        <f>H26*I26*J26</f>
        <v>376436.53691275168</v>
      </c>
      <c r="L26" s="72">
        <f>K26/8</f>
        <v>47054.567114093959</v>
      </c>
    </row>
    <row r="27" spans="2:12" ht="13.5" thickBot="1">
      <c r="B27" s="23"/>
      <c r="C27" s="19"/>
      <c r="D27" s="438" t="s">
        <v>128</v>
      </c>
      <c r="E27" s="439"/>
      <c r="F27" s="78"/>
      <c r="G27" s="78"/>
      <c r="H27" s="78"/>
      <c r="I27" s="78">
        <f>SUM(I25:I26)</f>
        <v>1242</v>
      </c>
      <c r="J27" s="78"/>
      <c r="K27" s="79">
        <f>K25+K26</f>
        <v>597697.48555323505</v>
      </c>
      <c r="L27" s="79">
        <f>L25+L26</f>
        <v>65492.97950080091</v>
      </c>
    </row>
    <row r="28" spans="2:12">
      <c r="B28" s="440"/>
      <c r="C28" s="361"/>
      <c r="D28" s="361"/>
      <c r="E28" s="361"/>
      <c r="F28" s="361"/>
      <c r="G28" s="361"/>
      <c r="H28" s="361"/>
      <c r="I28" s="361"/>
      <c r="J28" s="361"/>
      <c r="K28" s="361"/>
    </row>
    <row r="29" spans="2:12">
      <c r="B29" s="361"/>
      <c r="C29" s="361"/>
      <c r="D29" s="361"/>
      <c r="E29" s="361"/>
      <c r="F29" s="361"/>
      <c r="G29" s="361"/>
      <c r="H29" s="361"/>
      <c r="I29" s="361"/>
      <c r="J29" s="361"/>
      <c r="K29" s="361"/>
    </row>
    <row r="30" spans="2:12">
      <c r="E30" s="430" t="s">
        <v>36</v>
      </c>
      <c r="F30" s="361"/>
      <c r="G30" s="361"/>
      <c r="H30" s="38"/>
      <c r="I30" s="38"/>
      <c r="J30" s="36" t="s">
        <v>221</v>
      </c>
      <c r="K30" s="36"/>
    </row>
    <row r="31" spans="2:12" ht="24.75" customHeight="1">
      <c r="E31" s="431" t="s">
        <v>119</v>
      </c>
      <c r="F31" s="361"/>
      <c r="G31" s="361"/>
      <c r="H31" s="40"/>
      <c r="I31" s="40"/>
      <c r="J31" s="2" t="s">
        <v>143</v>
      </c>
      <c r="K31" s="2"/>
    </row>
    <row r="36" spans="2:11">
      <c r="B36" s="17"/>
      <c r="C36" s="41"/>
      <c r="D36" s="41"/>
      <c r="E36" s="41" t="s">
        <v>120</v>
      </c>
      <c r="F36" s="41"/>
      <c r="G36" s="41"/>
      <c r="H36" s="41"/>
      <c r="I36" s="41"/>
      <c r="J36" s="17"/>
      <c r="K36" s="17"/>
    </row>
    <row r="37" spans="2:11">
      <c r="B37" s="17"/>
      <c r="C37" s="41" t="s">
        <v>215</v>
      </c>
      <c r="D37" s="41"/>
      <c r="E37" s="41"/>
      <c r="F37" s="41"/>
      <c r="G37" s="41"/>
      <c r="H37" s="41"/>
      <c r="I37" s="41"/>
      <c r="J37" s="17"/>
      <c r="K37" s="17"/>
    </row>
    <row r="38" spans="2:11">
      <c r="B38" s="17"/>
      <c r="C38" s="41"/>
      <c r="D38" s="41" t="s">
        <v>243</v>
      </c>
      <c r="E38" s="41" t="s">
        <v>242</v>
      </c>
      <c r="F38" s="41"/>
      <c r="G38" s="41"/>
      <c r="H38" s="41"/>
      <c r="I38" s="41"/>
      <c r="J38" s="17"/>
      <c r="K38" s="17"/>
    </row>
    <row r="39" spans="2:11">
      <c r="B39" s="17"/>
      <c r="C39" s="41" t="s">
        <v>224</v>
      </c>
      <c r="D39" s="41"/>
      <c r="E39" s="41"/>
      <c r="F39" s="41"/>
      <c r="G39" s="41"/>
      <c r="H39" s="41"/>
      <c r="I39" s="41"/>
      <c r="J39" s="17"/>
      <c r="K39" s="17"/>
    </row>
    <row r="40" spans="2:11">
      <c r="B40" s="17"/>
      <c r="C40" s="41" t="s">
        <v>236</v>
      </c>
      <c r="D40" s="41"/>
      <c r="E40" s="41"/>
      <c r="F40" s="41"/>
      <c r="G40" s="41"/>
      <c r="H40" s="41"/>
      <c r="I40" s="41"/>
      <c r="J40" s="17"/>
      <c r="K40" s="17"/>
    </row>
    <row r="41" spans="2:11">
      <c r="B41" s="17"/>
      <c r="C41" s="41" t="s">
        <v>237</v>
      </c>
      <c r="D41" s="41"/>
      <c r="E41" s="41"/>
      <c r="F41" s="41"/>
      <c r="G41" s="41"/>
      <c r="H41" s="41"/>
      <c r="I41" s="41"/>
      <c r="J41" s="17"/>
      <c r="K41" s="17"/>
    </row>
    <row r="42" spans="2:11">
      <c r="B42" s="17"/>
      <c r="C42" s="17" t="s">
        <v>238</v>
      </c>
      <c r="D42" s="17"/>
      <c r="E42" s="17"/>
      <c r="F42" s="17"/>
      <c r="G42" s="17"/>
      <c r="H42" s="17"/>
      <c r="I42" s="17"/>
      <c r="J42" s="17"/>
      <c r="K42" s="17"/>
    </row>
    <row r="43" spans="2:11">
      <c r="B43" s="17"/>
      <c r="C43" s="17" t="s">
        <v>239</v>
      </c>
      <c r="D43" s="17"/>
      <c r="E43" s="17"/>
      <c r="F43" s="17"/>
      <c r="G43" s="17"/>
      <c r="H43" s="17"/>
      <c r="I43" s="17"/>
      <c r="J43" s="17"/>
      <c r="K43" s="17"/>
    </row>
    <row r="44" spans="2:11">
      <c r="B44" s="17"/>
      <c r="C44" s="17" t="s">
        <v>240</v>
      </c>
      <c r="D44" s="17"/>
      <c r="E44" s="17"/>
      <c r="F44" s="17"/>
      <c r="G44" s="17"/>
      <c r="H44" s="17"/>
      <c r="I44" s="17"/>
      <c r="J44" s="17"/>
      <c r="K44" s="17"/>
    </row>
    <row r="45" spans="2:11">
      <c r="B45" s="17"/>
      <c r="C45" s="17" t="s">
        <v>241</v>
      </c>
      <c r="D45" s="17"/>
      <c r="E45" s="17"/>
      <c r="F45" s="17"/>
      <c r="G45" s="17"/>
      <c r="H45" s="17"/>
      <c r="I45" s="17"/>
      <c r="J45" s="17"/>
      <c r="K45" s="17"/>
    </row>
    <row r="46" spans="2:11"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2:11">
      <c r="B47" s="17"/>
      <c r="C47" s="41" t="s">
        <v>225</v>
      </c>
      <c r="D47" s="17"/>
      <c r="E47" s="17"/>
      <c r="F47" s="17"/>
      <c r="G47" s="17"/>
      <c r="H47" s="17"/>
      <c r="I47" s="17"/>
      <c r="J47" s="17"/>
      <c r="K47" s="17"/>
    </row>
    <row r="48" spans="2:11">
      <c r="B48" s="17"/>
      <c r="C48" s="41" t="s">
        <v>226</v>
      </c>
      <c r="D48" s="17"/>
      <c r="E48" s="17"/>
      <c r="F48" s="17"/>
      <c r="G48" s="17"/>
      <c r="H48" s="17"/>
      <c r="I48" s="17"/>
      <c r="J48" s="17"/>
      <c r="K48" s="17"/>
    </row>
    <row r="49" spans="2:12">
      <c r="B49" s="17"/>
      <c r="C49" s="41"/>
      <c r="D49" s="17"/>
      <c r="E49" s="17"/>
      <c r="F49" s="17"/>
      <c r="G49" s="17"/>
      <c r="H49" s="17"/>
      <c r="I49" s="17"/>
      <c r="J49" s="17"/>
      <c r="K49" s="17"/>
    </row>
    <row r="50" spans="2:12">
      <c r="B50" s="17"/>
      <c r="C50" s="41" t="s">
        <v>230</v>
      </c>
      <c r="D50" s="17"/>
      <c r="E50" s="17"/>
      <c r="F50" s="17"/>
      <c r="G50" s="17"/>
      <c r="H50" s="17"/>
      <c r="I50" s="17"/>
      <c r="J50" s="17"/>
      <c r="K50" s="17"/>
    </row>
    <row r="51" spans="2:12">
      <c r="B51" s="17"/>
      <c r="C51" s="17" t="s">
        <v>231</v>
      </c>
      <c r="D51" s="17"/>
      <c r="E51" s="17"/>
      <c r="F51" s="17"/>
      <c r="G51" s="17"/>
      <c r="H51" s="17"/>
      <c r="I51" s="17"/>
      <c r="J51" s="17"/>
      <c r="K51" s="17"/>
    </row>
    <row r="52" spans="2:12">
      <c r="B52" s="17"/>
      <c r="C52" s="17" t="s">
        <v>233</v>
      </c>
      <c r="D52" s="17"/>
      <c r="E52" s="17"/>
      <c r="F52" s="17"/>
      <c r="G52" s="17"/>
      <c r="H52" s="17"/>
      <c r="I52" s="17"/>
      <c r="J52" s="17"/>
      <c r="K52" s="17"/>
    </row>
    <row r="53" spans="2:12">
      <c r="B53" s="17"/>
      <c r="C53" s="17" t="s">
        <v>232</v>
      </c>
      <c r="D53" s="17"/>
      <c r="E53" s="17"/>
      <c r="F53" s="17"/>
      <c r="G53" s="17"/>
      <c r="H53" s="17"/>
      <c r="I53" s="17"/>
      <c r="J53" s="17"/>
      <c r="K53" s="17"/>
    </row>
    <row r="54" spans="2:12"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2:12" ht="51">
      <c r="B55" s="93"/>
      <c r="C55" s="18" t="s">
        <v>123</v>
      </c>
      <c r="D55" s="432" t="s">
        <v>124</v>
      </c>
      <c r="E55" s="433"/>
      <c r="F55" s="91" t="s">
        <v>172</v>
      </c>
      <c r="G55" s="91" t="s">
        <v>227</v>
      </c>
      <c r="H55" s="18" t="s">
        <v>125</v>
      </c>
      <c r="I55" s="18" t="s">
        <v>216</v>
      </c>
      <c r="J55" s="18" t="s">
        <v>217</v>
      </c>
      <c r="K55" s="18" t="s">
        <v>234</v>
      </c>
      <c r="L55" s="25" t="s">
        <v>235</v>
      </c>
    </row>
    <row r="56" spans="2:12">
      <c r="B56" s="23"/>
      <c r="C56" s="19">
        <v>1</v>
      </c>
      <c r="D56" s="434" t="s">
        <v>228</v>
      </c>
      <c r="E56" s="435"/>
      <c r="F56" s="92">
        <v>24599</v>
      </c>
      <c r="G56" s="92">
        <v>161.16999999999999</v>
      </c>
      <c r="H56" s="77">
        <f>(F56/G56)</f>
        <v>152.62766023453497</v>
      </c>
      <c r="I56" s="20">
        <v>251</v>
      </c>
      <c r="J56" s="20">
        <v>1.5</v>
      </c>
      <c r="K56" s="21">
        <f>H56*I56*J56</f>
        <v>57464.314078302421</v>
      </c>
      <c r="L56" s="72">
        <f>K56/6</f>
        <v>9577.3856797170702</v>
      </c>
    </row>
    <row r="57" spans="2:12" ht="13.5" thickBot="1">
      <c r="B57" s="23"/>
      <c r="C57" s="19">
        <v>2</v>
      </c>
      <c r="D57" s="436" t="s">
        <v>176</v>
      </c>
      <c r="E57" s="437"/>
      <c r="F57" s="92">
        <v>28138</v>
      </c>
      <c r="G57" s="92">
        <v>147.43</v>
      </c>
      <c r="H57" s="77">
        <f>(F57/G57)</f>
        <v>190.85667774537069</v>
      </c>
      <c r="I57" s="20">
        <v>408</v>
      </c>
      <c r="J57" s="20">
        <v>1.5</v>
      </c>
      <c r="K57" s="21">
        <f>H57*I57*J57</f>
        <v>116804.28678016686</v>
      </c>
      <c r="L57" s="72">
        <f>K57/6</f>
        <v>19467.38113002781</v>
      </c>
    </row>
    <row r="58" spans="2:12" ht="13.5" thickBot="1">
      <c r="B58" s="23"/>
      <c r="C58" s="19"/>
      <c r="D58" s="438" t="s">
        <v>128</v>
      </c>
      <c r="E58" s="439"/>
      <c r="F58" s="78"/>
      <c r="G58" s="78"/>
      <c r="H58" s="78"/>
      <c r="I58" s="78">
        <f>SUM(I56:I56)</f>
        <v>251</v>
      </c>
      <c r="J58" s="78"/>
      <c r="K58" s="79">
        <f>K56+K57</f>
        <v>174268.60085846929</v>
      </c>
      <c r="L58" s="79">
        <f>L56+L57</f>
        <v>29044.76680974488</v>
      </c>
    </row>
    <row r="59" spans="2:12">
      <c r="B59" s="440"/>
      <c r="C59" s="361"/>
      <c r="D59" s="361"/>
      <c r="E59" s="361"/>
      <c r="F59" s="361"/>
      <c r="G59" s="361"/>
      <c r="H59" s="361"/>
      <c r="I59" s="361"/>
      <c r="J59" s="361"/>
      <c r="K59" s="361"/>
    </row>
    <row r="60" spans="2:12">
      <c r="B60" s="361"/>
      <c r="C60" s="361"/>
      <c r="D60" s="361"/>
      <c r="E60" s="361"/>
      <c r="F60" s="361"/>
      <c r="G60" s="361"/>
      <c r="H60" s="361"/>
      <c r="I60" s="361"/>
      <c r="J60" s="361"/>
      <c r="K60" s="361"/>
    </row>
    <row r="61" spans="2:12">
      <c r="E61" s="430" t="s">
        <v>36</v>
      </c>
      <c r="F61" s="361"/>
      <c r="G61" s="361"/>
      <c r="H61" s="38"/>
      <c r="I61" s="38"/>
      <c r="J61" s="36" t="s">
        <v>221</v>
      </c>
      <c r="K61" s="36"/>
    </row>
    <row r="62" spans="2:12">
      <c r="E62" s="431" t="s">
        <v>119</v>
      </c>
      <c r="F62" s="361"/>
      <c r="G62" s="361"/>
      <c r="H62" s="40"/>
      <c r="I62" s="40"/>
      <c r="J62" s="2" t="s">
        <v>143</v>
      </c>
      <c r="K62" s="2"/>
    </row>
  </sheetData>
  <mergeCells count="14">
    <mergeCell ref="D24:E24"/>
    <mergeCell ref="D27:E27"/>
    <mergeCell ref="B28:K29"/>
    <mergeCell ref="E30:G30"/>
    <mergeCell ref="E31:G31"/>
    <mergeCell ref="D25:E25"/>
    <mergeCell ref="D26:E26"/>
    <mergeCell ref="E61:G61"/>
    <mergeCell ref="E62:G62"/>
    <mergeCell ref="D55:E55"/>
    <mergeCell ref="D56:E56"/>
    <mergeCell ref="D57:E57"/>
    <mergeCell ref="D58:E58"/>
    <mergeCell ref="B59:K60"/>
  </mergeCells>
  <pageMargins left="0.7" right="0.7" top="0.75" bottom="0.75" header="0.3" footer="0.3"/>
  <pageSetup paperSize="9" scale="8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учителя </vt:lpstr>
      <vt:lpstr>АДМхоз</vt:lpstr>
      <vt:lpstr>замена отпуск</vt:lpstr>
      <vt:lpstr>ночное</vt:lpstr>
      <vt:lpstr>праздн</vt:lpstr>
      <vt:lpstr>свод</vt:lpstr>
      <vt:lpstr>сверх</vt:lpstr>
      <vt:lpstr>Лист1</vt:lpstr>
      <vt:lpstr>АДМхоз!Заголовки_для_печати</vt:lpstr>
      <vt:lpstr>'учителя '!Заголовки_для_печати</vt:lpstr>
      <vt:lpstr>'учителя '!Область_печати</vt:lpstr>
    </vt:vector>
  </TitlesOfParts>
  <Company>321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321</dc:creator>
  <cp:lastModifiedBy>Windows 7</cp:lastModifiedBy>
  <cp:lastPrinted>2019-09-05T04:49:58Z</cp:lastPrinted>
  <dcterms:created xsi:type="dcterms:W3CDTF">2006-08-16T04:06:36Z</dcterms:created>
  <dcterms:modified xsi:type="dcterms:W3CDTF">2019-10-18T04:27:49Z</dcterms:modified>
</cp:coreProperties>
</file>